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JSJUNCAC\Desktop\IPYBAC\"/>
    </mc:Choice>
  </mc:AlternateContent>
  <xr:revisionPtr revIDLastSave="0" documentId="13_ncr:1_{E940F5A4-C490-4DDA-A7AD-B5048250AD50}" xr6:coauthVersionLast="47" xr6:coauthVersionMax="47" xr10:uidLastSave="{00000000-0000-0000-0000-000000000000}"/>
  <bookViews>
    <workbookView xWindow="-120" yWindow="-120" windowWidth="20730" windowHeight="1116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<sst xmlns="http://schemas.openxmlformats.org/spreadsheetml/2006/main" count="514" uniqueCount="223">
  <si>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</si>
  <si>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</si>
  <si>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</si>
  <si>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</si>
  <si>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</si>
  <si>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</si>
  <si>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</si>
  <si>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</si>
  <si>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</si>
  <si>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</si>
  <si>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</si>
  <si>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</si>
  <si>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</si>
  <si>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</si>
  <si>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</si>
  <si>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</si>
  <si>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</si>
  <si>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</si>
  <si>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</si>
  <si>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</si>
  <si>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</si>
  <si>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</si>
  <si>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</si>
  <si>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</si>
  <si>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</si>
  <si>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</si>
  <si>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</si>
  <si>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</si>
  <si>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</si>
  <si>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</si>
  <si>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</si>
  <si>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</si>
  <si>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</si>
  <si>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</si>
  <si>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</si>
  <si>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</si>
  <si>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</si>
  <si>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</si>
  <si>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</si>
  <si>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</si>
  <si>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</si>
  <si>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</si>
  <si>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</si>
  <si>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</si>
  <si>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</si>
  <si>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</si>
  <si>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</si>
  <si>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</si>
  <si>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</si>
  <si>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</si>
  <si>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</si>
  <si>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</si>
  <si>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</si>
  <si>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</si>
  <si>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</si>
  <si>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</si>
  <si>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</si>
  <si>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</si>
  <si>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</si>
  <si>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</si>
  <si>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</si>
  <si>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</si>
  <si>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</si>
  <si>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</si>
  <si>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</si>
  <si>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</si>
  <si>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</si>
  <si>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</si>
  <si>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</si>
  <si>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</si>
  <si>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</si>
  <si>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</si>
  <si>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</si>
  <si>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</si>
  <si>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</si>
  <si>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</si>
  <si>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</si>
  <si>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</si>
  <si>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</si>
  <si>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</si>
  <si>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</si>
  <si>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</si>
  <si>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</si>
  <si>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</si>
  <si>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</si>
  <si>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</si>
  <si>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</si>
  <si>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</si>
  <si>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</si>
  <si>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</si>
  <si>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</si>
  <si>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</si>
  <si>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</si>
  <si>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</si>
  <si>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</si>
  <si>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</si>
  <si>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</si>
  <si>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</si>
  <si>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</si>
  <si>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</si>
  <si>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</si>
  <si>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</si>
  <si>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</si>
  <si>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</si>
  <si>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</si>
  <si>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</si>
  <si>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</si>
  <si>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</si>
  <si>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</si>
  <si>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</si>
  <si>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</si>
  <si>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</si>
  <si>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</si>
  <si>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</si>
  <si>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</si>
  <si>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</si>
  <si>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</si>
  <si>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</si>
  <si>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</si>
  <si>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</si>
  <si>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</si>
  <si>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</si>
  <si>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</si>
  <si>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</si>
  <si>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</si>
  <si>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</si>
  <si>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</si>
  <si>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</si>
  <si>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</si>
  <si>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</si>
  <si>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</si>
  <si>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</si>
  <si>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</si>
  <si>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</si>
  <si>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</si>
  <si>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</si>
  <si>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</si>
  <si>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</si>
  <si>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</si>
  <si>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</si>
  <si>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</si>
  <si>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</si>
  <si>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</si>
  <si>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</si>
  <si>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</si>
  <si>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</si>
  <si>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</si>
  <si>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</si>
  <si>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</si>
  <si>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</si>
  <si>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</si>
  <si>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</si>
  <si>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</si>
  <si>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</si>
  <si>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</si>
  <si>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</si>
  <si>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</si>
  <si>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</si>
  <si>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</si>
  <si>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</si>
  <si>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</si>
  <si>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</si>
  <si>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</si>
  <si>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</si>
  <si>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</si>
  <si>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</si>
  <si>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</si>
  <si>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</si>
  <si>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</si>
  <si>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</si>
  <si>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</si>
  <si>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</si>
  <si>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</si>
  <si>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</si>
  <si>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</si>
  <si>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</si>
  <si>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</si>
  <si>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</si>
  <si>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</si>
  <si>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</si>
  <si>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</si>
  <si>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</si>
  <si>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</si>
  <si>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</si>
  <si>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</si>
  <si>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</si>
  <si>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</si>
  <si>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</si>
  <si>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</si>
  <si>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</si>
  <si>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</si>
  <si>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 xml:space="preserve">LA ENTIDAD AL SER UN ESTABLECIMIENTO PUBLICO Y AL PERTENECER A LA RAMA EJECUTIVA SE ACOJE A LO ESTABLECIDO EN LA LEY 87 DEL 93 ASI MISMO SE INICIA LA CREACION DE LA INSTITUCIONALIDAD DEL MODELO CON EL COMITÉ COORDINADOR DE CONTROL INTERNO Y EL COMIEDE GESTION Y DESEMPEÑO </t>
  </si>
  <si>
    <t xml:space="preserve">SE EVIDENCIA QUE NO SE CUENTA CON EL DOCUMENTO TAL CUAL Y LO ESTALBECE EL DAFP FRENTE A LA POLITICA DE INTEGRIDAD </t>
  </si>
  <si>
    <t xml:space="preserve">LA ENTIDAD AL INICIAR OPERACIONES EN EL 2021  SE ENCUENTRA EN PROCESO DE IMPLEMENTACION DE DICHO DOCUMENTO </t>
  </si>
  <si>
    <t>SI LA ENTIDAD PRESENTA LA ESRUCTURA ORGANIZACIONAL  MEDIANTE EL Estudio Técnico
para el Rediseño
Institucional
Instituto de Protección y Bienestar
Animal de Cundinamarca
(IPYBAC).</t>
  </si>
  <si>
    <t xml:space="preserve">LA ENTIDAD ENTREGA EL DOCUMENTO </t>
  </si>
  <si>
    <t>LA ENTIDAD SOLO CUENTA CON UN MAPA DE PROCESOS  QUE SE ENCUENTRA EL Estudio Técnico
para el Rediseño
Institucional
Instituto de Protección y Bienestar
Animal de Cundinamarca
(IPYBAC).</t>
  </si>
  <si>
    <t xml:space="preserve">SI LA ENTIDAD PRESENTA MANUAL DE FUNCION ES PLANTAS DE PERSONAL ADOPTADAS POR ACTO ADMINISTRATIVO </t>
  </si>
  <si>
    <t xml:space="preserve">NO SE ENTREGA NINGUN SOPORTE FRENTE AL TEMA </t>
  </si>
  <si>
    <t xml:space="preserve">SE INICIO LA CONSTRUCCION DE PLAN ANTICORRUPCION SIN EMBARGO HAY QUE DAR INICIO A LA CONSTRUCCION DE LA POLITICA DE RIESGOS </t>
  </si>
  <si>
    <t xml:space="preserve">LA ENTIDAD LLEVA POCO TIEMPO DE CREADA </t>
  </si>
  <si>
    <t xml:space="preserve">SE ESTA TRABAJANDO EN LA CONSTRUCCION DEL PLAN ANTIVORRUPCION CUUENTAN CON LA MATRIZ DE RIESGOS DE CORRUPCION </t>
  </si>
  <si>
    <t xml:space="preserve">SE CUENTA CON PLAN DE MANEJO DE RIESGOS DE CORRUPCION HACE FALTA POLITICA DE RIESGOS DE GESTION Y SEGURIDAD DE LA INFORMACION </t>
  </si>
  <si>
    <t xml:space="preserve">LA ENTIDAD PRESENTA LA MATRIZ DE RIESGOS DE  CORRUPCION </t>
  </si>
  <si>
    <t xml:space="preserve">LA ENTIDAD PRERSENTA EL PLAN  ANTICORRUPCION </t>
  </si>
  <si>
    <t xml:space="preserve">LA ENTIDAD CUENTA CON ESTE EQUIPO </t>
  </si>
  <si>
    <t xml:space="preserve">ESTAN GESTIONANDO LA HABILITACIOPN DE ESTA INFORMACION </t>
  </si>
  <si>
    <t xml:space="preserve">SE ESTA DESAROLLANDO POR PRIMERA VEZ EL INFORME SEMESTRAL DE CONTROL IN TERNO </t>
  </si>
  <si>
    <t xml:space="preserve">DESDE CONTROL SE HA GENERADO LA ALERTA FRENTE AL TEMA </t>
  </si>
  <si>
    <t>AL LLEVAR  TAN POCO TIEMPO DE CONSTITUIDA LA ENTIDAD ES CLARO QUE SEPRESNETAN MUCHOS RIESGOS FREENTE AL CUMPLIMIENTO DE LOS COMPONENTES DEL SCI SIN EMBARGO DESDELA ALTA GERENCIA SE HAVENIDO TRABAJANDO EN DAR CUMPLIM IENTOS A LOS LINEAMIENTOS  ESTABLECIDOS EN LA NORMATIVIDAD VIGENTE APARTIR DE ESTE INFORME SE TRABAJARA DE MANERA CONJUNTA EN EL DESARROLLO DE LOS PLANES ESTRATEGICOS DE LA ENTIDAD.</t>
  </si>
  <si>
    <t xml:space="preserve">AL LLEVAR TAN POCO TIEMPO DE CREDA  EL SISTEMA DE CONTROL INTERNO APENAS ESTA CREANDO UNA CULTURA DE AUTO CONTROL  Y SE ESTA DANDO INICIO A LA CREACION DE LA INSTITUCIONALIDAD DEL MIPG CON LA CONFORMACION DE LOS COMITES DEL MODELO SE BUSCARA DESARROLLAR UN PLAN DE ACCION A PARTIR DE SUS PRIMERAS REUINIONES </t>
  </si>
  <si>
    <t xml:space="preserve">AL LLEVAR TAN POCO TIEMPO DE CREADA SE ESTAAPENAS GENERANDO DOCUMENTACION YY CAPACITACION DEL PERSONAL FFRENTE AL ESQUE MA DE LAS LINEAS DE DEFENSA </t>
  </si>
  <si>
    <t xml:space="preserve">Fortaleza: Se han elaborados las herramientas para el establecimiento de un ambiente de control que permita  la implementación eficiente del Control Interno 
Debilidad: Se recomendó reforzar la socialización a todo nivel, seguimiento y evaluación de los resultados del ingreso, permanencia y retiro del personal de la Institucón. </t>
  </si>
  <si>
    <t>Fortaleza:Se han identificado los riesgos por cada uno de los procesos del Instituto y se realiza seguimiento  de forma cuatrimestral 
Debilidad :Generar la cultura de autocontrol  de evaluacion permanente por todos los lideres de proceso con el fin evitar la materialización.</t>
  </si>
  <si>
    <t>Fortalleza: DESDE CONTROL INTERNO SE ESTA BUSCANDO LA CAPACITACION DEL PERSONAL TYANTO DE LA ALTA GERENCIA COMO A NIVEL OPERATICVO EN EL CONONOCIUMEINTO DEL MODELO INTEGRADO DE PLAN EACION  Y GESTION ARTICULADO CONE L MODELO ESTANDAR DE CONTROL INTERNO 
EL EQUIPO DE TRABAJO TIENE LA INTENCION DE FORTALECER EL SISTEMA DE CONTROL INTERNO MEDIANTE LA DOCUMENDACION  PRESENTADA 
Debilidad:  El Instituto NO cuenta con las herramientas del Sistema de Control Interno como : 1-procedimientos , politicas sistemas de evaluacion a través de indicadores, guias, protocolos, planes y su evalaución
1-Socialización, seguimiento y evaluación como cultura de Autocontrol de las herramientas de Control. 2.Socialización y aplicación de las lineas de Defensa.Seguimiento al  plan estratégico de tecnología de la información, el plan de seguridad y privacidad de la información y el plan de tratamiento de riesgos de seguridad y privacidad de la información que no se encuentran publicados los seguimientos en la pagina web.</t>
  </si>
  <si>
    <t>Se cuenta con medios de comunicación tanto internas y externas a través de medios de comunicación adecuados como redes sociales, correos electronicos y comites virtuales .Debilidad:Reforzar la comunicación a nivel interno de la Institución. Actualizar el activo de información del instituto,seguimiento  de los roles y usuarios teniendo en cuenta la segregación de funciones</t>
  </si>
  <si>
    <t>Fortalezas:1-Se cuenta con las herramientas  y se realiza el monitoreo del Control Interno en losdiferentes procesos del Instituto.
Debilidad : 1- Socializacion de los cambios en la documentación del instituto a todo nivel de la Institución.</t>
  </si>
  <si>
    <t>RENDICION DE CUENTAS SEPTIEMBRE CON LA GOBERNACION DE CUNDINAMARCA, PUBLICACIONES, PARTICIPACION ACTIVA EN REDES SOCIALES, INFORME DE RENDICION DE CUENTAS.</t>
  </si>
  <si>
    <t>REPORTE MENSUAL DE CONTRALORIA, REPORTES ANTE LA DIAN, INFORME DE GESTION CONSEJO DIRECTIVO</t>
  </si>
  <si>
    <t>TWITER, CORREO ELECTRONICO</t>
  </si>
  <si>
    <t>PARTICIPACION EN EL COMITÉ DEPARTAMENTAL DE CONTROL INTERNO, COMITÉ DEPARTAMENTAL DE ENTIDADES DECENTRALIZADAS. COMITÉ NACIONAL DE DIRECTORES DE CONTROL INTERNO.</t>
  </si>
  <si>
    <t>INSTITUTO DE PROTECCION Y BIENESTAR ANIMAL DE CUNDINAMARCA</t>
  </si>
  <si>
    <t>PRIMER SEMESTRE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</si>
</sst>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12"/>
      <name val="Arial"/>
      <family val="2"/>
    </font>
    <font>
      <b/>
      <sz val="25"/>
      <color theme="1"/>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0" fillId="4" borderId="2" xfId="0" applyNumberFormat="1" applyFill="1" applyBorder="1" applyAlignment="1" applyProtection="1">
      <alignment horizontal="center" vertical="top" wrapText="1"/>
      <protection locked="0"/>
    </xf>
    <xf numFmtId="49" fontId="0" fillId="4" borderId="84" xfId="0" applyNumberFormat="1" applyFill="1" applyBorder="1" applyAlignment="1" applyProtection="1">
      <alignment horizontal="center" vertical="top" wrapText="1"/>
      <protection locked="0"/>
    </xf>
    <xf numFmtId="49" fontId="0" fillId="4" borderId="3" xfId="0" applyNumberFormat="1" applyFill="1" applyBorder="1" applyAlignment="1" applyProtection="1">
      <alignment horizontal="center" vertical="top" wrapText="1"/>
      <protection locked="0"/>
    </xf>
    <xf numFmtId="49" fontId="0" fillId="4" borderId="85" xfId="0" applyNumberForma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top" wrapText="1"/>
      <protection locked="0"/>
    </xf>
    <xf numFmtId="49" fontId="0" fillId="4" borderId="86" xfId="0" applyNumberFormat="1" applyFill="1" applyBorder="1" applyAlignment="1" applyProtection="1">
      <alignment horizontal="center" vertical="top" wrapText="1"/>
      <protection locked="0"/>
    </xf>
    <xf numFmtId="0" fontId="0" fillId="0" borderId="24" xfId="0"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4"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5" xfId="0" applyBorder="1" applyAlignment="1" applyProtection="1">
      <alignment horizontal="left"/>
      <protection locked="0"/>
    </xf>
    <xf numFmtId="0" fontId="0" fillId="0" borderId="1"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52" fillId="12" borderId="0" xfId="0" applyFont="1" applyFill="1" applyBorder="1" applyAlignment="1">
      <alignment horizontal="center" vertical="center" wrapText="1"/>
    </xf>
    <xf numFmtId="0" fontId="56" fillId="0" borderId="24" xfId="0" applyFont="1" applyFill="1" applyBorder="1" applyAlignment="1" applyProtection="1">
      <alignment horizontal="center" vertical="center" wrapText="1"/>
      <protection locked="0"/>
    </xf>
    <xf numFmtId="0" fontId="56" fillId="0" borderId="1" xfId="0" applyFont="1" applyFill="1" applyBorder="1" applyAlignment="1" applyProtection="1">
      <alignment horizontal="center" vertical="center" wrapText="1"/>
      <protection locked="0"/>
    </xf>
    <xf numFmtId="0" fontId="56" fillId="0" borderId="25" xfId="0" applyFont="1" applyFill="1" applyBorder="1" applyAlignment="1" applyProtection="1">
      <alignment horizontal="center" vertical="center" wrapText="1"/>
      <protection locked="0"/>
    </xf>
    <xf numFmtId="0" fontId="0" fillId="0" borderId="73" xfId="0" applyBorder="1" applyAlignment="1">
      <alignment horizontal="center"/>
    </xf>
    <xf numFmtId="0" fontId="0" fillId="0" borderId="1" xfId="0" applyBorder="1" applyAlignment="1">
      <alignment horizontal="center"/>
    </xf>
    <xf numFmtId="0" fontId="57" fillId="4" borderId="3" xfId="0" applyFont="1" applyFill="1" applyBorder="1" applyAlignment="1" applyProtection="1">
      <alignment horizontal="center" vertical="center"/>
      <protection locked="0"/>
    </xf>
    <xf numFmtId="164" fontId="57" fillId="4" borderId="22" xfId="0" applyNumberFormat="1" applyFont="1" applyFill="1" applyBorder="1" applyAlignment="1" applyProtection="1">
      <alignment horizontal="center" vertical="center"/>
      <protection locked="0"/>
    </xf>
    <xf numFmtId="164" fontId="57" fillId="4" borderId="23" xfId="0" applyNumberFormat="1" applyFont="1" applyFill="1" applyBorder="1" applyAlignment="1" applyProtection="1">
      <alignment horizontal="center" vertical="center"/>
      <protection locked="0"/>
    </xf>
    <xf numFmtId="164" fontId="57" fillId="4" borderId="9" xfId="0" applyNumberFormat="1" applyFont="1" applyFill="1" applyBorder="1" applyAlignment="1" applyProtection="1">
      <alignment horizontal="center" vertical="center"/>
      <protection locked="0"/>
    </xf>
    <xf numFmtId="0" fontId="0" fillId="0" borderId="0" xfId="0" applyFill="1" applyProtection="1">
      <protection locked="0"/>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3"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4" t="s">
        <v>0</v>
      </c>
      <c r="C2" s="165"/>
      <c r="D2" s="165"/>
      <c r="E2" s="165"/>
      <c r="F2" s="165"/>
      <c r="G2" s="165"/>
      <c r="H2" s="166"/>
    </row>
    <row r="3" spans="2:8" ht="65.25" customHeight="1" x14ac:dyDescent="0.2">
      <c r="B3" s="167" t="s">
        <v>1</v>
      </c>
      <c r="C3" s="168"/>
      <c r="D3" s="168"/>
      <c r="E3" s="168"/>
      <c r="F3" s="168"/>
      <c r="G3" s="168"/>
      <c r="H3" s="169"/>
    </row>
    <row r="4" spans="2:8" ht="82.5" customHeight="1" x14ac:dyDescent="0.2">
      <c r="B4" s="167"/>
      <c r="C4" s="168"/>
      <c r="D4" s="168"/>
      <c r="E4" s="168"/>
      <c r="F4" s="168"/>
      <c r="G4" s="168"/>
      <c r="H4" s="169"/>
    </row>
    <row r="5" spans="2:8" ht="21.75" customHeight="1" x14ac:dyDescent="0.2">
      <c r="B5" s="170" t="s">
        <v>2</v>
      </c>
      <c r="C5" s="171"/>
      <c r="D5" s="171"/>
      <c r="E5" s="171"/>
      <c r="F5" s="171"/>
      <c r="G5" s="171"/>
      <c r="H5" s="172"/>
    </row>
    <row r="6" spans="2:8" ht="42" customHeight="1" x14ac:dyDescent="0.2">
      <c r="B6" s="173" t="s">
        <v>3</v>
      </c>
      <c r="C6" s="174"/>
      <c r="D6" s="174"/>
      <c r="E6" s="174"/>
      <c r="F6" s="174"/>
      <c r="G6" s="174"/>
      <c r="H6" s="175"/>
    </row>
    <row r="7" spans="2:8" ht="14.25" customHeight="1" x14ac:dyDescent="0.2">
      <c r="B7" s="173"/>
      <c r="C7" s="174"/>
      <c r="D7" s="174"/>
      <c r="E7" s="174"/>
      <c r="F7" s="174"/>
      <c r="G7" s="174"/>
      <c r="H7" s="175"/>
    </row>
    <row r="8" spans="2:8" ht="12.75" customHeight="1" thickBot="1" x14ac:dyDescent="0.25">
      <c r="B8" s="57"/>
      <c r="C8" s="51"/>
      <c r="D8" s="67"/>
      <c r="E8" s="68"/>
      <c r="F8" s="68"/>
      <c r="G8" s="65"/>
      <c r="H8" s="66"/>
    </row>
    <row r="9" spans="2:8" ht="21" customHeight="1" thickTop="1" x14ac:dyDescent="0.2">
      <c r="B9" s="57"/>
      <c r="C9" s="176" t="s">
        <v>4</v>
      </c>
      <c r="D9" s="177"/>
      <c r="E9" s="178" t="s">
        <v>5</v>
      </c>
      <c r="F9" s="179"/>
      <c r="G9" s="51"/>
      <c r="H9" s="59"/>
    </row>
    <row r="10" spans="2:8" ht="37.5" customHeight="1" x14ac:dyDescent="0.2">
      <c r="B10" s="57"/>
      <c r="C10" s="180" t="s">
        <v>6</v>
      </c>
      <c r="D10" s="181"/>
      <c r="E10" s="182" t="s">
        <v>7</v>
      </c>
      <c r="F10" s="183"/>
      <c r="G10" s="51"/>
      <c r="H10" s="59"/>
    </row>
    <row r="11" spans="2:8" ht="39.75" customHeight="1" x14ac:dyDescent="0.2">
      <c r="B11" s="57"/>
      <c r="C11" s="184" t="s">
        <v>8</v>
      </c>
      <c r="D11" s="185"/>
      <c r="E11" s="186" t="s">
        <v>9</v>
      </c>
      <c r="F11" s="187"/>
      <c r="G11" s="51"/>
      <c r="H11" s="59"/>
    </row>
    <row r="12" spans="2:8" ht="59.25" customHeight="1" x14ac:dyDescent="0.2">
      <c r="B12" s="57"/>
      <c r="C12" s="184" t="s">
        <v>10</v>
      </c>
      <c r="D12" s="185"/>
      <c r="E12" s="188" t="s">
        <v>11</v>
      </c>
      <c r="F12" s="189"/>
      <c r="G12" s="51"/>
      <c r="H12" s="59"/>
    </row>
    <row r="13" spans="2:8" ht="33.75" customHeight="1" x14ac:dyDescent="0.2">
      <c r="B13" s="57"/>
      <c r="C13" s="194" t="s">
        <v>12</v>
      </c>
      <c r="D13" s="195"/>
      <c r="E13" s="186" t="s">
        <v>13</v>
      </c>
      <c r="F13" s="187"/>
      <c r="G13" s="51"/>
      <c r="H13" s="59"/>
    </row>
    <row r="14" spans="2:8" ht="19.5" customHeight="1" x14ac:dyDescent="0.2">
      <c r="B14" s="57"/>
      <c r="C14" s="63"/>
      <c r="D14" s="63"/>
      <c r="E14" s="64"/>
      <c r="F14" s="64"/>
      <c r="G14" s="51"/>
      <c r="H14" s="59"/>
    </row>
    <row r="15" spans="2:8" ht="37.5" customHeight="1" thickBot="1" x14ac:dyDescent="0.25">
      <c r="B15" s="190" t="s">
        <v>14</v>
      </c>
      <c r="C15" s="191"/>
      <c r="D15" s="191"/>
      <c r="E15" s="191"/>
      <c r="F15" s="191"/>
      <c r="G15" s="191"/>
      <c r="H15" s="192"/>
    </row>
    <row r="16" spans="2:8" ht="27.75" customHeight="1" thickBot="1" x14ac:dyDescent="0.25">
      <c r="B16" s="57"/>
      <c r="C16" s="196" t="s">
        <v>15</v>
      </c>
      <c r="D16" s="197"/>
      <c r="E16" s="197" t="s">
        <v>16</v>
      </c>
      <c r="F16" s="208"/>
      <c r="G16" s="51"/>
      <c r="H16" s="59"/>
    </row>
    <row r="17" spans="2:8" ht="27.75" customHeight="1" x14ac:dyDescent="0.2">
      <c r="B17" s="57"/>
      <c r="C17" s="209" t="s">
        <v>17</v>
      </c>
      <c r="D17" s="210"/>
      <c r="E17" s="211" t="s">
        <v>18</v>
      </c>
      <c r="F17" s="212"/>
      <c r="G17" s="101"/>
      <c r="H17" s="59"/>
    </row>
    <row r="18" spans="2:8" ht="41.25" customHeight="1" x14ac:dyDescent="0.2">
      <c r="B18" s="57"/>
      <c r="C18" s="198" t="s">
        <v>19</v>
      </c>
      <c r="D18" s="199"/>
      <c r="E18" s="200" t="s">
        <v>20</v>
      </c>
      <c r="F18" s="201"/>
      <c r="G18" s="102"/>
      <c r="H18" s="59"/>
    </row>
    <row r="19" spans="2:8" ht="37.5" customHeight="1" thickBot="1" x14ac:dyDescent="0.25">
      <c r="B19" s="57"/>
      <c r="C19" s="202" t="s">
        <v>21</v>
      </c>
      <c r="D19" s="203"/>
      <c r="E19" s="204" t="s">
        <v>22</v>
      </c>
      <c r="F19" s="205"/>
      <c r="G19" s="102"/>
      <c r="H19" s="59"/>
    </row>
    <row r="20" spans="2:8" ht="11.25" customHeight="1" x14ac:dyDescent="0.2">
      <c r="B20" s="52"/>
      <c r="C20" s="53"/>
      <c r="D20" s="53"/>
      <c r="E20" s="53"/>
      <c r="F20" s="53"/>
      <c r="G20" s="53"/>
      <c r="H20" s="54"/>
    </row>
    <row r="21" spans="2:8" ht="14.25" customHeight="1" x14ac:dyDescent="0.2">
      <c r="B21" s="55"/>
      <c r="C21" s="206"/>
      <c r="D21" s="206"/>
      <c r="E21" s="207"/>
      <c r="F21" s="207"/>
      <c r="G21" s="207"/>
      <c r="H21" s="56"/>
    </row>
    <row r="22" spans="2:8" ht="36" customHeight="1" x14ac:dyDescent="0.2">
      <c r="B22" s="190" t="s">
        <v>23</v>
      </c>
      <c r="C22" s="191"/>
      <c r="D22" s="191"/>
      <c r="E22" s="191"/>
      <c r="F22" s="191"/>
      <c r="G22" s="191"/>
      <c r="H22" s="192"/>
    </row>
    <row r="23" spans="2:8" ht="13.5" x14ac:dyDescent="0.2">
      <c r="B23" s="57"/>
      <c r="C23" s="58"/>
      <c r="D23" s="58"/>
      <c r="E23" s="193"/>
      <c r="F23" s="193"/>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1" zoomScale="70" zoomScaleNormal="70" workbookViewId="0">
      <selection activeCell="I6" sqref="I6"/>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5" t="s">
        <v>31</v>
      </c>
      <c r="C16" s="219" t="s">
        <v>32</v>
      </c>
      <c r="D16" s="252" t="s">
        <v>33</v>
      </c>
      <c r="E16" s="81" t="s">
        <v>34</v>
      </c>
      <c r="F16" s="82" t="s">
        <v>35</v>
      </c>
      <c r="G16" s="112" t="s">
        <v>76</v>
      </c>
      <c r="H16" s="113" t="s">
        <v>191</v>
      </c>
      <c r="I16" s="104" t="str">
        <f>+IF(G16="Si","Mantenimiento del control",IF(G16="En proceso","Oportunidad de mejora","Deficiencia de control"))</f>
        <v>Oportunidad de mejora</v>
      </c>
      <c r="J16" s="105">
        <f t="shared" ref="J16:J27" si="0">+IF(G16="Si",20,IF(G16="En proceso",10,0))</f>
        <v>10</v>
      </c>
      <c r="K16" s="105">
        <v>0.123</v>
      </c>
      <c r="L16" s="105">
        <f>+J16+K16</f>
        <v>10.122999999999999</v>
      </c>
    </row>
    <row r="17" spans="1:32" s="49" customFormat="1" ht="63" x14ac:dyDescent="0.25">
      <c r="A17" s="103" t="str">
        <f t="shared" ref="A17:A27" si="1">1&amp;E17</f>
        <v>1b</v>
      </c>
      <c r="B17" s="256"/>
      <c r="C17" s="220"/>
      <c r="D17" s="253"/>
      <c r="E17" s="83" t="s">
        <v>37</v>
      </c>
      <c r="F17" s="84" t="s">
        <v>38</v>
      </c>
      <c r="G17" s="114" t="s">
        <v>36</v>
      </c>
      <c r="H17" s="115" t="s">
        <v>192</v>
      </c>
      <c r="I17" s="106" t="str">
        <f t="shared" ref="I17:I59" si="2">+IF(G17="Si","Mantenimiento del control",IF(G17="En proceso","Oportunidad de mejora","Deficiencia de control"))</f>
        <v>Deficiencia de control</v>
      </c>
      <c r="J17" s="107">
        <f t="shared" si="0"/>
        <v>0</v>
      </c>
      <c r="K17" s="105">
        <v>0.1234</v>
      </c>
      <c r="L17" s="105">
        <f t="shared" ref="L17:L59" si="3">+J17+K17</f>
        <v>0.1234</v>
      </c>
    </row>
    <row r="18" spans="1:32" s="49" customFormat="1" ht="64.5" customHeight="1" x14ac:dyDescent="0.25">
      <c r="A18" s="103" t="str">
        <f t="shared" si="1"/>
        <v>1c</v>
      </c>
      <c r="B18" s="256"/>
      <c r="C18" s="220"/>
      <c r="D18" s="253"/>
      <c r="E18" s="83" t="s">
        <v>40</v>
      </c>
      <c r="F18" s="85" t="s">
        <v>41</v>
      </c>
      <c r="G18" s="116" t="s">
        <v>76</v>
      </c>
      <c r="H18" s="117" t="s">
        <v>193</v>
      </c>
      <c r="I18" s="108" t="str">
        <f t="shared" si="2"/>
        <v>Oportunidad de mejora</v>
      </c>
      <c r="J18" s="107">
        <f t="shared" si="0"/>
        <v>10</v>
      </c>
      <c r="K18" s="105">
        <v>0.12345</v>
      </c>
      <c r="L18" s="105">
        <f t="shared" si="3"/>
        <v>10.12345</v>
      </c>
    </row>
    <row r="19" spans="1:32" s="49" customFormat="1" ht="132" x14ac:dyDescent="0.25">
      <c r="A19" s="103" t="str">
        <f t="shared" si="1"/>
        <v>1d</v>
      </c>
      <c r="B19" s="256"/>
      <c r="C19" s="220"/>
      <c r="D19" s="253"/>
      <c r="E19" s="83" t="s">
        <v>42</v>
      </c>
      <c r="F19" s="85" t="s">
        <v>43</v>
      </c>
      <c r="G19" s="116" t="s">
        <v>39</v>
      </c>
      <c r="H19" s="117" t="s">
        <v>194</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6"/>
      <c r="C20" s="220"/>
      <c r="D20" s="253"/>
      <c r="E20" s="83" t="s">
        <v>44</v>
      </c>
      <c r="F20" s="85" t="s">
        <v>45</v>
      </c>
      <c r="G20" s="116" t="s">
        <v>39</v>
      </c>
      <c r="H20" s="117" t="s">
        <v>195</v>
      </c>
      <c r="I20" s="108" t="str">
        <f t="shared" si="2"/>
        <v>Mantenimiento del control</v>
      </c>
      <c r="J20" s="107">
        <f t="shared" si="0"/>
        <v>20</v>
      </c>
      <c r="K20" s="105">
        <v>0.12345678</v>
      </c>
      <c r="L20" s="105">
        <f t="shared" si="3"/>
        <v>20.123456780000001</v>
      </c>
    </row>
    <row r="21" spans="1:32" s="49" customFormat="1" ht="123" customHeight="1" x14ac:dyDescent="0.25">
      <c r="A21" s="103" t="str">
        <f t="shared" si="1"/>
        <v>1f</v>
      </c>
      <c r="B21" s="256"/>
      <c r="C21" s="220"/>
      <c r="D21" s="253"/>
      <c r="E21" s="83" t="s">
        <v>46</v>
      </c>
      <c r="F21" s="85" t="s">
        <v>47</v>
      </c>
      <c r="G21" s="116" t="s">
        <v>76</v>
      </c>
      <c r="H21" s="117" t="s">
        <v>196</v>
      </c>
      <c r="I21" s="108" t="str">
        <f t="shared" si="2"/>
        <v>Oportunidad de mejora</v>
      </c>
      <c r="J21" s="107">
        <f t="shared" si="0"/>
        <v>10</v>
      </c>
      <c r="K21" s="105">
        <v>0.123456789</v>
      </c>
      <c r="L21" s="105">
        <f t="shared" si="3"/>
        <v>10.123456789</v>
      </c>
    </row>
    <row r="22" spans="1:32" s="49" customFormat="1" ht="148.5" customHeight="1" x14ac:dyDescent="0.25">
      <c r="A22" s="103" t="str">
        <f t="shared" si="1"/>
        <v>1g</v>
      </c>
      <c r="B22" s="256"/>
      <c r="C22" s="220"/>
      <c r="D22" s="253"/>
      <c r="E22" s="83" t="s">
        <v>48</v>
      </c>
      <c r="F22" s="85" t="s">
        <v>49</v>
      </c>
      <c r="G22" s="116" t="s">
        <v>39</v>
      </c>
      <c r="H22" s="117" t="s">
        <v>197</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56"/>
      <c r="C23" s="220"/>
      <c r="D23" s="253"/>
      <c r="E23" s="83" t="s">
        <v>50</v>
      </c>
      <c r="F23" s="85" t="s">
        <v>51</v>
      </c>
      <c r="G23" s="116" t="s">
        <v>36</v>
      </c>
      <c r="H23" s="117" t="s">
        <v>198</v>
      </c>
      <c r="I23" s="108" t="str">
        <f t="shared" si="2"/>
        <v>Deficiencia de control</v>
      </c>
      <c r="J23" s="107">
        <f t="shared" si="0"/>
        <v>0</v>
      </c>
      <c r="K23" s="105">
        <v>0.12345678911999999</v>
      </c>
      <c r="L23" s="105">
        <f t="shared" si="3"/>
        <v>0.12345678911999999</v>
      </c>
    </row>
    <row r="24" spans="1:32" s="49" customFormat="1" ht="57.75" customHeight="1" x14ac:dyDescent="0.25">
      <c r="A24" s="103" t="str">
        <f t="shared" si="1"/>
        <v>1i</v>
      </c>
      <c r="B24" s="256"/>
      <c r="C24" s="220"/>
      <c r="D24" s="253"/>
      <c r="E24" s="83" t="s">
        <v>52</v>
      </c>
      <c r="F24" s="85" t="s">
        <v>53</v>
      </c>
      <c r="G24" s="116" t="s">
        <v>36</v>
      </c>
      <c r="H24" s="117" t="s">
        <v>198</v>
      </c>
      <c r="I24" s="108" t="str">
        <f t="shared" si="2"/>
        <v>Deficiencia de control</v>
      </c>
      <c r="J24" s="107">
        <f t="shared" si="0"/>
        <v>0</v>
      </c>
      <c r="K24" s="105">
        <v>0.123456789123</v>
      </c>
      <c r="L24" s="105">
        <f t="shared" si="3"/>
        <v>0.123456789123</v>
      </c>
    </row>
    <row r="25" spans="1:32" s="49" customFormat="1" ht="52.5" customHeight="1" x14ac:dyDescent="0.25">
      <c r="A25" s="103" t="str">
        <f t="shared" si="1"/>
        <v>1j</v>
      </c>
      <c r="B25" s="256"/>
      <c r="C25" s="220"/>
      <c r="D25" s="253"/>
      <c r="E25" s="83" t="s">
        <v>54</v>
      </c>
      <c r="F25" s="85" t="s">
        <v>55</v>
      </c>
      <c r="G25" s="116" t="s">
        <v>39</v>
      </c>
      <c r="H25" s="117" t="s">
        <v>197</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56"/>
      <c r="C26" s="220"/>
      <c r="D26" s="253"/>
      <c r="E26" s="83" t="s">
        <v>56</v>
      </c>
      <c r="F26" s="85" t="s">
        <v>57</v>
      </c>
      <c r="G26" s="116" t="s">
        <v>39</v>
      </c>
      <c r="H26" s="117" t="s">
        <v>217</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57"/>
      <c r="C27" s="221"/>
      <c r="D27" s="254"/>
      <c r="E27" s="86" t="s">
        <v>58</v>
      </c>
      <c r="F27" s="87" t="s">
        <v>59</v>
      </c>
      <c r="G27" s="118" t="s">
        <v>39</v>
      </c>
      <c r="H27" s="117" t="s">
        <v>218</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58" t="s">
        <v>60</v>
      </c>
      <c r="C28" s="222" t="s">
        <v>61</v>
      </c>
      <c r="D28" s="261" t="s">
        <v>62</v>
      </c>
      <c r="E28" s="81" t="s">
        <v>34</v>
      </c>
      <c r="F28" s="82" t="s">
        <v>63</v>
      </c>
      <c r="G28" s="112" t="s">
        <v>36</v>
      </c>
      <c r="H28" s="117" t="s">
        <v>198</v>
      </c>
      <c r="I28" s="104" t="str">
        <f t="shared" si="2"/>
        <v>Deficiencia de control</v>
      </c>
      <c r="J28" s="105">
        <f>+IF(G28="Si",40,IF(G28="En proceso",30,20))</f>
        <v>20</v>
      </c>
      <c r="K28" s="105">
        <v>0.23</v>
      </c>
      <c r="L28" s="105">
        <f t="shared" si="3"/>
        <v>20.23</v>
      </c>
    </row>
    <row r="29" spans="1:32" s="49" customFormat="1" ht="63" x14ac:dyDescent="0.25">
      <c r="A29" s="103" t="str">
        <f t="shared" ref="A29:A31" si="4">2&amp;E29</f>
        <v>2b</v>
      </c>
      <c r="B29" s="259"/>
      <c r="C29" s="223"/>
      <c r="D29" s="237"/>
      <c r="E29" s="83" t="s">
        <v>37</v>
      </c>
      <c r="F29" s="85" t="s">
        <v>64</v>
      </c>
      <c r="G29" s="116" t="s">
        <v>36</v>
      </c>
      <c r="H29" s="117" t="s">
        <v>198</v>
      </c>
      <c r="I29" s="108" t="str">
        <f t="shared" si="2"/>
        <v>Deficiencia de control</v>
      </c>
      <c r="J29" s="105">
        <f>+IF(G29="Si",40,IF(G29="En proceso",30,20))</f>
        <v>20</v>
      </c>
      <c r="K29" s="105">
        <v>0.23400000000000001</v>
      </c>
      <c r="L29" s="105">
        <f t="shared" si="3"/>
        <v>20.234000000000002</v>
      </c>
    </row>
    <row r="30" spans="1:32" s="49" customFormat="1" ht="47.25" x14ac:dyDescent="0.25">
      <c r="A30" s="103" t="str">
        <f t="shared" si="4"/>
        <v>2c</v>
      </c>
      <c r="B30" s="259"/>
      <c r="C30" s="223"/>
      <c r="D30" s="237"/>
      <c r="E30" s="83" t="s">
        <v>40</v>
      </c>
      <c r="F30" s="85" t="s">
        <v>65</v>
      </c>
      <c r="G30" s="116" t="s">
        <v>36</v>
      </c>
      <c r="H30" s="117" t="s">
        <v>198</v>
      </c>
      <c r="I30" s="108" t="str">
        <f t="shared" si="2"/>
        <v>Deficiencia de control</v>
      </c>
      <c r="J30" s="105">
        <f>+IF(G30="Si",40,IF(G30="En proceso",30,20))</f>
        <v>20</v>
      </c>
      <c r="K30" s="105">
        <v>0.23449999999999999</v>
      </c>
      <c r="L30" s="105">
        <f t="shared" si="3"/>
        <v>20.234500000000001</v>
      </c>
    </row>
    <row r="31" spans="1:32" s="49" customFormat="1" ht="63.75" thickBot="1" x14ac:dyDescent="0.3">
      <c r="A31" s="103" t="str">
        <f t="shared" si="4"/>
        <v>2d</v>
      </c>
      <c r="B31" s="260"/>
      <c r="C31" s="224"/>
      <c r="D31" s="262"/>
      <c r="E31" s="86" t="s">
        <v>42</v>
      </c>
      <c r="F31" s="87" t="s">
        <v>66</v>
      </c>
      <c r="G31" s="118" t="s">
        <v>36</v>
      </c>
      <c r="H31" s="117" t="s">
        <v>198</v>
      </c>
      <c r="I31" s="109" t="str">
        <f t="shared" si="2"/>
        <v>Deficiencia de control</v>
      </c>
      <c r="J31" s="105">
        <f>+IF(G31="Si",40,IF(G31="En proceso",30,20))</f>
        <v>20</v>
      </c>
      <c r="K31" s="105">
        <v>0.23455999999999999</v>
      </c>
      <c r="L31" s="105">
        <f t="shared" si="3"/>
        <v>20.234559999999998</v>
      </c>
    </row>
    <row r="32" spans="1:32" s="49" customFormat="1" ht="49.5" customHeight="1" x14ac:dyDescent="0.25">
      <c r="A32" s="103" t="str">
        <f>3&amp;E32</f>
        <v>3a</v>
      </c>
      <c r="B32" s="234" t="s">
        <v>67</v>
      </c>
      <c r="C32" s="234" t="s">
        <v>61</v>
      </c>
      <c r="D32" s="235" t="s">
        <v>68</v>
      </c>
      <c r="E32" s="88" t="s">
        <v>34</v>
      </c>
      <c r="F32" s="85" t="s">
        <v>69</v>
      </c>
      <c r="G32" s="116" t="s">
        <v>36</v>
      </c>
      <c r="H32" s="117" t="s">
        <v>198</v>
      </c>
      <c r="I32" s="108" t="str">
        <f t="shared" si="2"/>
        <v>Deficiencia de control</v>
      </c>
      <c r="J32" s="105">
        <f t="shared" ref="J32:J37" si="5">+IF(G32="Si",40,IF(G32="En proceso",30,20))</f>
        <v>20</v>
      </c>
      <c r="K32" s="110">
        <v>0.234567</v>
      </c>
      <c r="L32" s="105">
        <f t="shared" ref="L32:L37" si="6">+J32+K32</f>
        <v>20.234566999999998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4"/>
      <c r="C33" s="234"/>
      <c r="D33" s="235"/>
      <c r="E33" s="88" t="s">
        <v>37</v>
      </c>
      <c r="F33" s="85" t="s">
        <v>70</v>
      </c>
      <c r="G33" s="116" t="s">
        <v>36</v>
      </c>
      <c r="H33" s="117" t="s">
        <v>198</v>
      </c>
      <c r="I33" s="108" t="str">
        <f t="shared" si="2"/>
        <v>Deficiencia de control</v>
      </c>
      <c r="J33" s="105">
        <f t="shared" si="5"/>
        <v>20</v>
      </c>
      <c r="K33" s="110">
        <v>0.23456779999999999</v>
      </c>
      <c r="L33" s="105">
        <f t="shared" si="6"/>
        <v>20.234567800000001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4"/>
      <c r="C34" s="234"/>
      <c r="D34" s="235"/>
      <c r="E34" s="88" t="s">
        <v>40</v>
      </c>
      <c r="F34" s="85" t="s">
        <v>71</v>
      </c>
      <c r="G34" s="116" t="s">
        <v>36</v>
      </c>
      <c r="H34" s="117" t="s">
        <v>198</v>
      </c>
      <c r="I34" s="108" t="str">
        <f t="shared" si="2"/>
        <v>Deficiencia de control</v>
      </c>
      <c r="J34" s="105">
        <f t="shared" si="5"/>
        <v>20</v>
      </c>
      <c r="K34" s="110">
        <v>0.23456789</v>
      </c>
      <c r="L34" s="105">
        <f t="shared" si="6"/>
        <v>20.234567890000001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36" t="s">
        <v>72</v>
      </c>
      <c r="C35" s="223" t="s">
        <v>61</v>
      </c>
      <c r="D35" s="237" t="s">
        <v>73</v>
      </c>
      <c r="E35" s="81" t="s">
        <v>34</v>
      </c>
      <c r="F35" s="82" t="s">
        <v>74</v>
      </c>
      <c r="G35" s="112" t="s">
        <v>36</v>
      </c>
      <c r="H35" s="117" t="s">
        <v>198</v>
      </c>
      <c r="I35" s="104" t="str">
        <f t="shared" si="2"/>
        <v>Deficiencia de control</v>
      </c>
      <c r="J35" s="105">
        <f t="shared" si="5"/>
        <v>20</v>
      </c>
      <c r="K35" s="110">
        <v>0.23456789119999999</v>
      </c>
      <c r="L35" s="105">
        <f t="shared" si="6"/>
        <v>20.234567891200001</v>
      </c>
      <c r="M35" s="48"/>
      <c r="N35" s="48"/>
      <c r="O35" s="48"/>
      <c r="P35" s="48"/>
      <c r="Q35" s="48"/>
    </row>
    <row r="36" spans="1:32" s="49" customFormat="1" ht="57.75" customHeight="1" x14ac:dyDescent="0.25">
      <c r="A36" s="103" t="str">
        <f t="shared" ref="A36:A37" si="8">4&amp;E36</f>
        <v>4b</v>
      </c>
      <c r="B36" s="236"/>
      <c r="C36" s="223"/>
      <c r="D36" s="237"/>
      <c r="E36" s="83" t="s">
        <v>37</v>
      </c>
      <c r="F36" s="85" t="s">
        <v>75</v>
      </c>
      <c r="G36" s="116" t="s">
        <v>76</v>
      </c>
      <c r="H36" s="117" t="s">
        <v>199</v>
      </c>
      <c r="I36" s="108" t="str">
        <f t="shared" si="2"/>
        <v>Oportunidad de mejora</v>
      </c>
      <c r="J36" s="105">
        <f t="shared" si="5"/>
        <v>30</v>
      </c>
      <c r="K36" s="110">
        <v>0.23456789122999999</v>
      </c>
      <c r="L36" s="105">
        <f t="shared" si="6"/>
        <v>30.23456789123</v>
      </c>
      <c r="M36" s="48"/>
      <c r="N36" s="48"/>
      <c r="O36" s="48"/>
      <c r="P36" s="48"/>
      <c r="Q36" s="48"/>
    </row>
    <row r="37" spans="1:32" s="49" customFormat="1" ht="49.5" customHeight="1" thickBot="1" x14ac:dyDescent="0.3">
      <c r="A37" s="103" t="str">
        <f t="shared" si="8"/>
        <v>4c</v>
      </c>
      <c r="B37" s="236"/>
      <c r="C37" s="223"/>
      <c r="D37" s="237"/>
      <c r="E37" s="83" t="s">
        <v>40</v>
      </c>
      <c r="F37" s="85" t="s">
        <v>77</v>
      </c>
      <c r="G37" s="116" t="s">
        <v>76</v>
      </c>
      <c r="H37" s="117" t="s">
        <v>200</v>
      </c>
      <c r="I37" s="108" t="str">
        <f t="shared" si="2"/>
        <v>Oportunidad de mejora</v>
      </c>
      <c r="J37" s="105">
        <f t="shared" si="5"/>
        <v>30</v>
      </c>
      <c r="K37" s="110">
        <v>0.23456789123399999</v>
      </c>
      <c r="L37" s="105">
        <f t="shared" si="6"/>
        <v>30.234567891234001</v>
      </c>
      <c r="M37" s="48"/>
      <c r="N37" s="48"/>
      <c r="O37" s="48"/>
      <c r="P37" s="48"/>
      <c r="Q37" s="48"/>
    </row>
    <row r="38" spans="1:32" s="49" customFormat="1" ht="85.5" customHeight="1" x14ac:dyDescent="0.25">
      <c r="A38" s="103" t="str">
        <f>5&amp;E38</f>
        <v>5a</v>
      </c>
      <c r="B38" s="238" t="s">
        <v>78</v>
      </c>
      <c r="C38" s="225" t="s">
        <v>79</v>
      </c>
      <c r="D38" s="241" t="s">
        <v>80</v>
      </c>
      <c r="E38" s="81" t="s">
        <v>34</v>
      </c>
      <c r="F38" s="89" t="s">
        <v>81</v>
      </c>
      <c r="G38" s="120" t="s">
        <v>76</v>
      </c>
      <c r="H38" s="121" t="s">
        <v>201</v>
      </c>
      <c r="I38" s="111" t="str">
        <f t="shared" si="2"/>
        <v>Oportunidad de mejora</v>
      </c>
      <c r="J38" s="105">
        <f>+IF(G38="Si",60,IF(G38="En proceso",50,40))</f>
        <v>50</v>
      </c>
      <c r="K38" s="105">
        <v>0.31</v>
      </c>
      <c r="L38" s="105">
        <f t="shared" si="3"/>
        <v>50.31</v>
      </c>
    </row>
    <row r="39" spans="1:32" s="49" customFormat="1" ht="66" x14ac:dyDescent="0.25">
      <c r="A39" s="103" t="str">
        <f t="shared" ref="A39:A42" si="9">5&amp;E39</f>
        <v>5b</v>
      </c>
      <c r="B39" s="239"/>
      <c r="C39" s="226"/>
      <c r="D39" s="242"/>
      <c r="E39" s="83" t="s">
        <v>37</v>
      </c>
      <c r="F39" s="85" t="s">
        <v>82</v>
      </c>
      <c r="G39" s="116" t="s">
        <v>76</v>
      </c>
      <c r="H39" s="117" t="s">
        <v>202</v>
      </c>
      <c r="I39" s="108" t="str">
        <f t="shared" si="2"/>
        <v>Oportunidad de mejora</v>
      </c>
      <c r="J39" s="105">
        <f>+IF(G39="Si",60,IF(G39="En proceso",50,40))</f>
        <v>50</v>
      </c>
      <c r="K39" s="105">
        <v>0.32300000000000001</v>
      </c>
      <c r="L39" s="105">
        <f t="shared" si="3"/>
        <v>50.323</v>
      </c>
    </row>
    <row r="40" spans="1:32" s="49" customFormat="1" ht="47.25" x14ac:dyDescent="0.25">
      <c r="A40" s="103" t="str">
        <f t="shared" si="9"/>
        <v>5c</v>
      </c>
      <c r="B40" s="239"/>
      <c r="C40" s="226"/>
      <c r="D40" s="242"/>
      <c r="E40" s="83" t="s">
        <v>40</v>
      </c>
      <c r="F40" s="85" t="s">
        <v>83</v>
      </c>
      <c r="G40" s="116" t="s">
        <v>36</v>
      </c>
      <c r="H40" s="117" t="s">
        <v>198</v>
      </c>
      <c r="I40" s="108" t="str">
        <f t="shared" si="2"/>
        <v>Deficiencia de control</v>
      </c>
      <c r="J40" s="105">
        <f>+IF(G40="Si",60,IF(G40="En proceso",50,40))</f>
        <v>40</v>
      </c>
      <c r="K40" s="105">
        <v>0.32400000000000001</v>
      </c>
      <c r="L40" s="105">
        <f t="shared" si="3"/>
        <v>40.323999999999998</v>
      </c>
    </row>
    <row r="41" spans="1:32" s="49" customFormat="1" ht="94.5" x14ac:dyDescent="0.25">
      <c r="A41" s="103" t="str">
        <f t="shared" si="9"/>
        <v>5d</v>
      </c>
      <c r="B41" s="239"/>
      <c r="C41" s="226"/>
      <c r="D41" s="242"/>
      <c r="E41" s="83" t="s">
        <v>42</v>
      </c>
      <c r="F41" s="85" t="s">
        <v>84</v>
      </c>
      <c r="G41" s="116" t="s">
        <v>39</v>
      </c>
      <c r="H41" s="117" t="s">
        <v>203</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40"/>
      <c r="C42" s="227"/>
      <c r="D42" s="243"/>
      <c r="E42" s="86" t="s">
        <v>44</v>
      </c>
      <c r="F42" s="87" t="s">
        <v>85</v>
      </c>
      <c r="G42" s="118" t="s">
        <v>39</v>
      </c>
      <c r="H42" s="119" t="s">
        <v>204</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48" t="s">
        <v>86</v>
      </c>
      <c r="C43" s="228" t="s">
        <v>87</v>
      </c>
      <c r="D43" s="245" t="s">
        <v>88</v>
      </c>
      <c r="E43" s="81" t="s">
        <v>34</v>
      </c>
      <c r="F43" s="82" t="s">
        <v>89</v>
      </c>
      <c r="G43" s="112" t="s">
        <v>39</v>
      </c>
      <c r="H43" s="113" t="s">
        <v>205</v>
      </c>
      <c r="I43" s="104" t="str">
        <f t="shared" si="2"/>
        <v>Mantenimiento del control</v>
      </c>
      <c r="J43" s="105">
        <f t="shared" ref="J43:J49" si="10">+IF(G43="Si",80,IF(G43="En proceso",70,60))</f>
        <v>80</v>
      </c>
      <c r="K43" s="105">
        <v>0.41199999999999998</v>
      </c>
      <c r="L43" s="105">
        <f t="shared" si="3"/>
        <v>80.412000000000006</v>
      </c>
    </row>
    <row r="44" spans="1:32" s="49" customFormat="1" ht="45.75" customHeight="1" x14ac:dyDescent="0.25">
      <c r="A44" s="103" t="str">
        <f t="shared" ref="A44:A49" si="11">6&amp;E44</f>
        <v>6b</v>
      </c>
      <c r="B44" s="249"/>
      <c r="C44" s="229"/>
      <c r="D44" s="246"/>
      <c r="E44" s="83" t="s">
        <v>37</v>
      </c>
      <c r="F44" s="85" t="s">
        <v>90</v>
      </c>
      <c r="G44" s="116" t="s">
        <v>39</v>
      </c>
      <c r="H44" s="117" t="s">
        <v>219</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49"/>
      <c r="C45" s="229"/>
      <c r="D45" s="246"/>
      <c r="E45" s="83" t="s">
        <v>40</v>
      </c>
      <c r="F45" s="85" t="s">
        <v>91</v>
      </c>
      <c r="G45" s="116" t="s">
        <v>76</v>
      </c>
      <c r="H45" s="117" t="s">
        <v>206</v>
      </c>
      <c r="I45" s="108" t="str">
        <f t="shared" si="2"/>
        <v>Oportunidad de mejora</v>
      </c>
      <c r="J45" s="105">
        <f t="shared" si="10"/>
        <v>70</v>
      </c>
      <c r="K45" s="105">
        <v>0.41233999999999998</v>
      </c>
      <c r="L45" s="105">
        <f t="shared" si="3"/>
        <v>70.41234</v>
      </c>
    </row>
    <row r="46" spans="1:32" s="49" customFormat="1" ht="33" x14ac:dyDescent="0.25">
      <c r="A46" s="103" t="str">
        <f t="shared" si="11"/>
        <v>6d</v>
      </c>
      <c r="B46" s="249"/>
      <c r="C46" s="229"/>
      <c r="D46" s="246"/>
      <c r="E46" s="83" t="s">
        <v>42</v>
      </c>
      <c r="F46" s="85" t="s">
        <v>92</v>
      </c>
      <c r="G46" s="116" t="s">
        <v>36</v>
      </c>
      <c r="H46" s="117" t="s">
        <v>198</v>
      </c>
      <c r="I46" s="108" t="str">
        <f t="shared" si="2"/>
        <v>Deficiencia de control</v>
      </c>
      <c r="J46" s="105">
        <f t="shared" si="10"/>
        <v>60</v>
      </c>
      <c r="K46" s="105">
        <v>0.41234500000000002</v>
      </c>
      <c r="L46" s="105">
        <f t="shared" si="3"/>
        <v>60.412345000000002</v>
      </c>
    </row>
    <row r="47" spans="1:32" s="49" customFormat="1" ht="63.75" thickBot="1" x14ac:dyDescent="0.3">
      <c r="A47" s="103" t="str">
        <f t="shared" si="11"/>
        <v>6e</v>
      </c>
      <c r="B47" s="249"/>
      <c r="C47" s="229"/>
      <c r="D47" s="246"/>
      <c r="E47" s="83" t="s">
        <v>44</v>
      </c>
      <c r="F47" s="85" t="s">
        <v>93</v>
      </c>
      <c r="G47" s="116" t="s">
        <v>36</v>
      </c>
      <c r="H47" s="119" t="s">
        <v>204</v>
      </c>
      <c r="I47" s="108" t="str">
        <f t="shared" si="2"/>
        <v>Deficiencia de control</v>
      </c>
      <c r="J47" s="105">
        <f t="shared" si="10"/>
        <v>60</v>
      </c>
      <c r="K47" s="105">
        <v>0.41234559999999998</v>
      </c>
      <c r="L47" s="105">
        <f t="shared" si="3"/>
        <v>60.412345600000002</v>
      </c>
    </row>
    <row r="48" spans="1:32" s="49" customFormat="1" ht="63" x14ac:dyDescent="0.25">
      <c r="A48" s="103" t="str">
        <f t="shared" si="11"/>
        <v>6f</v>
      </c>
      <c r="B48" s="249"/>
      <c r="C48" s="229"/>
      <c r="D48" s="246"/>
      <c r="E48" s="83" t="s">
        <v>46</v>
      </c>
      <c r="F48" s="85" t="s">
        <v>94</v>
      </c>
      <c r="G48" s="116" t="s">
        <v>36</v>
      </c>
      <c r="H48" s="117" t="s">
        <v>198</v>
      </c>
      <c r="I48" s="108" t="str">
        <f t="shared" si="2"/>
        <v>Deficiencia de control</v>
      </c>
      <c r="J48" s="105">
        <f t="shared" si="10"/>
        <v>60</v>
      </c>
      <c r="K48" s="105">
        <v>0.41234567</v>
      </c>
      <c r="L48" s="105">
        <f t="shared" si="3"/>
        <v>60.412345670000001</v>
      </c>
    </row>
    <row r="49" spans="1:17" s="49" customFormat="1" ht="48" thickBot="1" x14ac:dyDescent="0.3">
      <c r="A49" s="103" t="str">
        <f t="shared" si="11"/>
        <v>6g</v>
      </c>
      <c r="B49" s="250"/>
      <c r="C49" s="230"/>
      <c r="D49" s="247"/>
      <c r="E49" s="86" t="s">
        <v>48</v>
      </c>
      <c r="F49" s="87" t="s">
        <v>95</v>
      </c>
      <c r="G49" s="118" t="s">
        <v>36</v>
      </c>
      <c r="H49" s="117" t="s">
        <v>198</v>
      </c>
      <c r="I49" s="109" t="str">
        <f t="shared" si="2"/>
        <v>Deficiencia de control</v>
      </c>
      <c r="J49" s="105">
        <f t="shared" si="10"/>
        <v>60</v>
      </c>
      <c r="K49" s="105">
        <v>0.41234567799999999</v>
      </c>
      <c r="L49" s="105">
        <f t="shared" si="3"/>
        <v>60.412345678000001</v>
      </c>
    </row>
    <row r="50" spans="1:17" s="49" customFormat="1" ht="54.75" customHeight="1" x14ac:dyDescent="0.25">
      <c r="A50" s="103" t="str">
        <f>7&amp;E50</f>
        <v>7a</v>
      </c>
      <c r="B50" s="216" t="s">
        <v>96</v>
      </c>
      <c r="C50" s="231" t="s">
        <v>97</v>
      </c>
      <c r="D50" s="213" t="s">
        <v>98</v>
      </c>
      <c r="E50" s="81" t="s">
        <v>34</v>
      </c>
      <c r="F50" s="82" t="s">
        <v>99</v>
      </c>
      <c r="G50" s="112" t="s">
        <v>36</v>
      </c>
      <c r="H50" s="117" t="s">
        <v>198</v>
      </c>
      <c r="I50" s="104" t="str">
        <f t="shared" si="2"/>
        <v>Deficiencia de control</v>
      </c>
      <c r="J50" s="105">
        <f>+IF(G50="Si",120,IF(G50="En proceso",100,80))</f>
        <v>80</v>
      </c>
      <c r="K50" s="105">
        <v>0.85099999999999998</v>
      </c>
      <c r="L50" s="105">
        <f t="shared" si="3"/>
        <v>80.850999999999999</v>
      </c>
    </row>
    <row r="51" spans="1:17" s="49" customFormat="1" ht="94.5" x14ac:dyDescent="0.25">
      <c r="A51" s="103" t="str">
        <f t="shared" ref="A51:A53" si="12">7&amp;E51</f>
        <v>7d</v>
      </c>
      <c r="B51" s="217"/>
      <c r="C51" s="232"/>
      <c r="D51" s="214"/>
      <c r="E51" s="83" t="s">
        <v>42</v>
      </c>
      <c r="F51" s="85" t="s">
        <v>100</v>
      </c>
      <c r="G51" s="116" t="s">
        <v>76</v>
      </c>
      <c r="H51" s="117" t="s">
        <v>207</v>
      </c>
      <c r="I51" s="108" t="str">
        <f t="shared" si="2"/>
        <v>Oportunidad de mejora</v>
      </c>
      <c r="J51" s="105">
        <f t="shared" ref="J51:J59" si="13">+IF(G51="Si",120,IF(G51="En proceso",100,80))</f>
        <v>100</v>
      </c>
      <c r="K51" s="105">
        <v>0.85119999999999996</v>
      </c>
      <c r="L51" s="105">
        <f t="shared" si="3"/>
        <v>100.85120000000001</v>
      </c>
    </row>
    <row r="52" spans="1:17" s="49" customFormat="1" ht="47.25" x14ac:dyDescent="0.25">
      <c r="A52" s="103" t="str">
        <f t="shared" si="12"/>
        <v>7f</v>
      </c>
      <c r="B52" s="217"/>
      <c r="C52" s="232"/>
      <c r="D52" s="214"/>
      <c r="E52" s="83" t="s">
        <v>46</v>
      </c>
      <c r="F52" s="85" t="s">
        <v>101</v>
      </c>
      <c r="G52" s="116" t="s">
        <v>36</v>
      </c>
      <c r="H52" s="117" t="s">
        <v>198</v>
      </c>
      <c r="I52" s="108" t="str">
        <f t="shared" si="2"/>
        <v>Deficiencia de control</v>
      </c>
      <c r="J52" s="105">
        <f t="shared" si="13"/>
        <v>80</v>
      </c>
      <c r="K52" s="105">
        <v>0.85123000000000004</v>
      </c>
      <c r="L52" s="105">
        <f t="shared" si="3"/>
        <v>80.851230000000001</v>
      </c>
    </row>
    <row r="53" spans="1:17" s="49" customFormat="1" ht="48" thickBot="1" x14ac:dyDescent="0.3">
      <c r="A53" s="103" t="str">
        <f t="shared" si="12"/>
        <v>7g</v>
      </c>
      <c r="B53" s="218"/>
      <c r="C53" s="233"/>
      <c r="D53" s="251"/>
      <c r="E53" s="86" t="s">
        <v>48</v>
      </c>
      <c r="F53" s="87" t="s">
        <v>102</v>
      </c>
      <c r="G53" s="118" t="s">
        <v>36</v>
      </c>
      <c r="H53" s="117" t="s">
        <v>198</v>
      </c>
      <c r="I53" s="109" t="str">
        <f t="shared" si="2"/>
        <v>Deficiencia de control</v>
      </c>
      <c r="J53" s="105">
        <f t="shared" si="13"/>
        <v>80</v>
      </c>
      <c r="K53" s="105">
        <v>0.85123400000000005</v>
      </c>
      <c r="L53" s="105">
        <f t="shared" si="3"/>
        <v>80.851234000000005</v>
      </c>
    </row>
    <row r="54" spans="1:17" s="49" customFormat="1" ht="102.75" customHeight="1" thickBot="1" x14ac:dyDescent="0.3">
      <c r="A54" s="103" t="str">
        <f>8&amp;E54</f>
        <v>8h</v>
      </c>
      <c r="B54" s="162" t="s">
        <v>103</v>
      </c>
      <c r="C54" s="163" t="s">
        <v>97</v>
      </c>
      <c r="D54" s="76" t="s">
        <v>104</v>
      </c>
      <c r="E54" s="81" t="s">
        <v>50</v>
      </c>
      <c r="F54" s="82" t="s">
        <v>105</v>
      </c>
      <c r="G54" s="112" t="s">
        <v>39</v>
      </c>
      <c r="H54" s="117" t="s">
        <v>220</v>
      </c>
      <c r="I54" s="104" t="str">
        <f t="shared" si="2"/>
        <v>Mantenimiento del control</v>
      </c>
      <c r="J54" s="105">
        <f t="shared" si="13"/>
        <v>120</v>
      </c>
      <c r="K54" s="105">
        <v>0.85123450000000001</v>
      </c>
      <c r="L54" s="105">
        <f t="shared" si="3"/>
        <v>120.8512345</v>
      </c>
    </row>
    <row r="55" spans="1:17" s="49" customFormat="1" ht="54.75" customHeight="1" thickBot="1" x14ac:dyDescent="0.3">
      <c r="A55" s="103" t="str">
        <f>9&amp;E55</f>
        <v>9a</v>
      </c>
      <c r="B55" s="216" t="s">
        <v>106</v>
      </c>
      <c r="C55" s="231" t="s">
        <v>97</v>
      </c>
      <c r="D55" s="213" t="s">
        <v>107</v>
      </c>
      <c r="E55" s="81" t="s">
        <v>34</v>
      </c>
      <c r="F55" s="82" t="s">
        <v>108</v>
      </c>
      <c r="G55" s="112" t="s">
        <v>76</v>
      </c>
      <c r="H55" s="113" t="s">
        <v>208</v>
      </c>
      <c r="I55" s="104" t="str">
        <f t="shared" si="2"/>
        <v>Oportunidad de mejora</v>
      </c>
      <c r="J55" s="105">
        <f t="shared" si="13"/>
        <v>100</v>
      </c>
      <c r="K55" s="110">
        <v>0.85123455999999997</v>
      </c>
      <c r="L55" s="105">
        <f t="shared" si="3"/>
        <v>100.85123455999999</v>
      </c>
      <c r="M55" s="48"/>
      <c r="N55" s="48"/>
      <c r="O55" s="48"/>
      <c r="P55" s="48"/>
      <c r="Q55" s="48"/>
    </row>
    <row r="56" spans="1:17" s="49" customFormat="1" ht="55.5" customHeight="1" thickBot="1" x14ac:dyDescent="0.3">
      <c r="A56" s="103" t="str">
        <f t="shared" ref="A56:A59" si="14">9&amp;E56</f>
        <v>9b</v>
      </c>
      <c r="B56" s="217"/>
      <c r="C56" s="232"/>
      <c r="D56" s="214"/>
      <c r="E56" s="83" t="s">
        <v>37</v>
      </c>
      <c r="F56" s="85" t="s">
        <v>109</v>
      </c>
      <c r="G56" s="116" t="s">
        <v>76</v>
      </c>
      <c r="H56" s="113" t="s">
        <v>208</v>
      </c>
      <c r="I56" s="108" t="str">
        <f t="shared" si="2"/>
        <v>Oportunidad de mejora</v>
      </c>
      <c r="J56" s="105">
        <f t="shared" si="13"/>
        <v>100</v>
      </c>
      <c r="K56" s="110">
        <v>0.851234567</v>
      </c>
      <c r="L56" s="105">
        <f t="shared" si="3"/>
        <v>100.85123456700001</v>
      </c>
      <c r="M56" s="48"/>
      <c r="N56" s="48"/>
      <c r="O56" s="48"/>
      <c r="P56" s="48"/>
      <c r="Q56" s="48"/>
    </row>
    <row r="57" spans="1:17" s="49" customFormat="1" ht="77.25" customHeight="1" thickBot="1" x14ac:dyDescent="0.3">
      <c r="A57" s="103" t="str">
        <f t="shared" si="14"/>
        <v>9c</v>
      </c>
      <c r="B57" s="217"/>
      <c r="C57" s="232"/>
      <c r="D57" s="214"/>
      <c r="E57" s="83" t="s">
        <v>40</v>
      </c>
      <c r="F57" s="85" t="s">
        <v>110</v>
      </c>
      <c r="G57" s="116" t="s">
        <v>76</v>
      </c>
      <c r="H57" s="113" t="s">
        <v>208</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thickBot="1" x14ac:dyDescent="0.3">
      <c r="A58" s="103" t="str">
        <f t="shared" si="14"/>
        <v>9d</v>
      </c>
      <c r="B58" s="217"/>
      <c r="C58" s="232"/>
      <c r="D58" s="214"/>
      <c r="E58" s="83" t="s">
        <v>42</v>
      </c>
      <c r="F58" s="85" t="s">
        <v>111</v>
      </c>
      <c r="G58" s="116" t="s">
        <v>76</v>
      </c>
      <c r="H58" s="113" t="s">
        <v>208</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18"/>
      <c r="C59" s="232"/>
      <c r="D59" s="215"/>
      <c r="E59" s="86" t="s">
        <v>44</v>
      </c>
      <c r="F59" s="87" t="s">
        <v>112</v>
      </c>
      <c r="G59" s="118" t="s">
        <v>76</v>
      </c>
      <c r="H59" s="113" t="s">
        <v>208</v>
      </c>
      <c r="I59" s="109" t="str">
        <f t="shared" si="2"/>
        <v>Oportunidad de mejora</v>
      </c>
      <c r="J59" s="105">
        <f t="shared" si="13"/>
        <v>100</v>
      </c>
      <c r="K59" s="110">
        <v>0.85123456789100005</v>
      </c>
      <c r="L59" s="105">
        <f t="shared" si="3"/>
        <v>100.851234567891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zoomScale="80" zoomScaleNormal="80" workbookViewId="0">
      <selection activeCell="H9" sqref="H9"/>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4" t="s">
        <v>113</v>
      </c>
      <c r="D7" s="295"/>
      <c r="E7" s="295"/>
      <c r="F7" s="295"/>
      <c r="G7" s="295"/>
      <c r="H7" s="295"/>
      <c r="I7" s="295"/>
      <c r="J7" s="295"/>
      <c r="K7" s="296"/>
    </row>
    <row r="8" spans="1:11" s="1" customFormat="1" ht="15.75" thickBot="1" x14ac:dyDescent="0.3">
      <c r="C8" s="39"/>
      <c r="D8" s="39"/>
      <c r="E8" s="40"/>
      <c r="F8" s="40"/>
      <c r="G8" s="40"/>
      <c r="H8" s="40"/>
      <c r="I8" s="50"/>
      <c r="J8" s="40"/>
      <c r="K8" s="40"/>
    </row>
    <row r="9" spans="1:11" ht="21" thickBot="1" x14ac:dyDescent="0.3">
      <c r="A9" s="1"/>
      <c r="B9" s="1"/>
      <c r="C9" s="196" t="s">
        <v>15</v>
      </c>
      <c r="D9" s="197"/>
      <c r="E9" s="197" t="s">
        <v>16</v>
      </c>
      <c r="F9" s="208"/>
      <c r="G9" s="40"/>
      <c r="H9" s="40"/>
      <c r="I9" s="50"/>
      <c r="J9" s="40"/>
      <c r="K9" s="40"/>
    </row>
    <row r="10" spans="1:11" ht="54" customHeight="1" x14ac:dyDescent="0.25">
      <c r="A10" s="1"/>
      <c r="B10" s="1"/>
      <c r="C10" s="209" t="s">
        <v>17</v>
      </c>
      <c r="D10" s="210"/>
      <c r="E10" s="211" t="s">
        <v>18</v>
      </c>
      <c r="F10" s="212"/>
      <c r="G10" s="41"/>
      <c r="H10" s="42">
        <v>1</v>
      </c>
      <c r="I10" s="335"/>
      <c r="J10" s="40"/>
      <c r="K10" s="40"/>
    </row>
    <row r="11" spans="1:11" ht="46.5" customHeight="1" x14ac:dyDescent="0.25">
      <c r="A11" s="1"/>
      <c r="B11" s="1"/>
      <c r="C11" s="198" t="s">
        <v>19</v>
      </c>
      <c r="D11" s="199"/>
      <c r="E11" s="200" t="s">
        <v>114</v>
      </c>
      <c r="F11" s="201"/>
      <c r="G11" s="43" t="s">
        <v>115</v>
      </c>
      <c r="H11" s="42">
        <v>0.75</v>
      </c>
      <c r="I11" s="50"/>
      <c r="J11" s="40"/>
      <c r="K11" s="40"/>
    </row>
    <row r="12" spans="1:11" ht="70.5" customHeight="1" thickBot="1" x14ac:dyDescent="0.3">
      <c r="A12" s="1"/>
      <c r="B12" s="1"/>
      <c r="C12" s="202" t="s">
        <v>21</v>
      </c>
      <c r="D12" s="203"/>
      <c r="E12" s="204" t="s">
        <v>116</v>
      </c>
      <c r="F12" s="205"/>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6" t="s">
        <v>117</v>
      </c>
      <c r="D17" s="288" t="s">
        <v>118</v>
      </c>
      <c r="E17" s="289"/>
      <c r="F17" s="290" t="s">
        <v>119</v>
      </c>
      <c r="G17" s="292" t="s">
        <v>120</v>
      </c>
      <c r="H17" s="38"/>
      <c r="I17" s="281" t="s">
        <v>121</v>
      </c>
      <c r="J17" s="281" t="s">
        <v>122</v>
      </c>
    </row>
    <row r="18" spans="1:10" ht="36" customHeight="1" thickBot="1" x14ac:dyDescent="0.3">
      <c r="A18" s="1"/>
      <c r="B18" s="1"/>
      <c r="C18" s="287"/>
      <c r="D18" s="122" t="s">
        <v>123</v>
      </c>
      <c r="E18" s="123" t="s">
        <v>27</v>
      </c>
      <c r="F18" s="291"/>
      <c r="G18" s="293"/>
      <c r="H18" s="38"/>
      <c r="I18" s="282"/>
      <c r="J18" s="282"/>
    </row>
    <row r="19" spans="1:10" ht="65.25" customHeight="1" x14ac:dyDescent="0.25">
      <c r="A19" s="1"/>
      <c r="B19" s="1"/>
      <c r="C19" s="141">
        <v>1</v>
      </c>
      <c r="D19" s="283" t="s">
        <v>32</v>
      </c>
      <c r="E19" s="124" t="str">
        <f>+IFERROR(INDEX(Hoja1!$E$2:$E$45,MATCH('Análisis Resultados'!C19,Hoja1!$H$2:$H$45,0)),"")</f>
        <v>Un documento tal como un código de ética, integridad u otro que formalice los estándares de conducta, los principios institucionales o los valores del servicio público</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65">
        <f>+AVERAGE(I19:I30)</f>
        <v>0.625</v>
      </c>
    </row>
    <row r="20" spans="1:10" ht="45" x14ac:dyDescent="0.25">
      <c r="A20" s="1"/>
      <c r="B20" s="1"/>
      <c r="C20" s="141">
        <v>2</v>
      </c>
      <c r="D20" s="284"/>
      <c r="E20" s="127" t="str">
        <f>+IFERROR(INDEX(Hoja1!$E$2:$E$45,MATCH('Análisis Resultados'!C20,Hoja1!$H$2:$H$45,0)),"")</f>
        <v>Procesos de inducción, capacitación y bienestar social para sus servidores públicos, de manera directa o en asociación con otras entidades municipales</v>
      </c>
      <c r="F20" s="128" t="str">
        <f>+IFERROR(VLOOKUP(C20,Hoja1!$H$2:$I$45,2,0),"")</f>
        <v>No</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43">
        <f t="shared" ref="I20:I62" si="1">+IF(F20="Si",1,IF(F20="En proceso",0.5,0))</f>
        <v>0</v>
      </c>
      <c r="J20" s="266"/>
    </row>
    <row r="21" spans="1:10" ht="45" x14ac:dyDescent="0.25">
      <c r="A21" s="1"/>
      <c r="B21" s="1"/>
      <c r="C21" s="141">
        <v>3</v>
      </c>
      <c r="D21" s="284"/>
      <c r="E21" s="127" t="str">
        <f>+IFERROR(INDEX(Hoja1!$E$2:$E$45,MATCH('Análisis Resultados'!C21,Hoja1!$H$2:$H$45,0)),"")</f>
        <v>Evaluación a los servidores públicos de acuerdo con el marco normativo que le rige</v>
      </c>
      <c r="F21" s="128" t="str">
        <f>+IFERROR(VLOOKUP(C21,Hoja1!$H$2:$I$45,2,0),"")</f>
        <v>No</v>
      </c>
      <c r="G21" s="129" t="str">
        <f t="shared" si="0"/>
        <v>No se encuentra el aspecto  por lo tanto la entidad debera generar acciones dirigidas a que se cumpla con el requerimiento.</v>
      </c>
      <c r="H21" s="18"/>
      <c r="I21" s="143">
        <f t="shared" si="1"/>
        <v>0</v>
      </c>
      <c r="J21" s="266"/>
    </row>
    <row r="22" spans="1:10" ht="56.25" customHeight="1" x14ac:dyDescent="0.25">
      <c r="A22" s="1"/>
      <c r="B22" s="1"/>
      <c r="C22" s="141">
        <v>4</v>
      </c>
      <c r="D22" s="284"/>
      <c r="E22" s="127" t="str">
        <f>+IFERROR(INDEX(Hoja1!$E$2:$E$45,MATCH('Análisis Resultados'!C22,Hoja1!$H$2:$H$45,0)),"")</f>
        <v>Documento interno o adopción del MECI actualizado</v>
      </c>
      <c r="F22" s="128" t="str">
        <f>+IFERROR(VLOOKUP(C22,Hoja1!$H$2:$I$45,2,0),"")</f>
        <v>En proceso</v>
      </c>
      <c r="G22" s="129" t="str">
        <f t="shared" si="0"/>
        <v>Se encuentra en proceso, pero requiere continuar con acciones dirigidas a contar con dicho aspecto de control.</v>
      </c>
      <c r="H22" s="18"/>
      <c r="I22" s="143">
        <f t="shared" si="1"/>
        <v>0.5</v>
      </c>
      <c r="J22" s="266"/>
    </row>
    <row r="23" spans="1:10" ht="45" x14ac:dyDescent="0.25">
      <c r="A23" s="1"/>
      <c r="B23" s="1"/>
      <c r="C23" s="141">
        <v>5</v>
      </c>
      <c r="D23" s="284"/>
      <c r="E23" s="127" t="str">
        <f>+IFERROR(INDEX(Hoja1!$E$2:$E$45,MATCH('Análisis Resultados'!C23,Hoja1!$H$2:$H$45,0)),"")</f>
        <v>Planes, programas y proyectos de acuerdo con las normas que rigen y atendiendo con su propósito fundamental institucional (misión)</v>
      </c>
      <c r="F23" s="128" t="str">
        <f>+IFERROR(VLOOKUP(C23,Hoja1!$H$2:$I$45,2,0),"")</f>
        <v>En proceso</v>
      </c>
      <c r="G23" s="129" t="str">
        <f t="shared" si="0"/>
        <v>Se encuentra en proceso, pero requiere continuar con acciones dirigidas a contar con dicho aspecto de control.</v>
      </c>
      <c r="H23" s="18"/>
      <c r="I23" s="143">
        <f t="shared" si="1"/>
        <v>0.5</v>
      </c>
      <c r="J23" s="266"/>
    </row>
    <row r="24" spans="1:10" ht="33.75" x14ac:dyDescent="0.25">
      <c r="A24" s="1"/>
      <c r="B24" s="1"/>
      <c r="C24" s="141">
        <v>6</v>
      </c>
      <c r="D24" s="284"/>
      <c r="E24" s="127" t="str">
        <f>+IFERROR(INDEX(Hoja1!$E$2:$E$45,MATCH('Análisis Resultados'!C24,Hoja1!$H$2:$H$45,0)),"")</f>
        <v>La documentación de sus procesos y procedimientos o bien una lista de actividades principales que permitan conocer el estado de su gestión</v>
      </c>
      <c r="F24" s="128" t="str">
        <f>+IFERROR(VLOOKUP(C24,Hoja1!$H$2:$I$45,2,0),"")</f>
        <v>En proceso</v>
      </c>
      <c r="G24" s="129" t="str">
        <f t="shared" si="0"/>
        <v>Se encuentra en proceso, pero requiere continuar con acciones dirigidas a contar con dicho aspecto de control.</v>
      </c>
      <c r="H24" s="18"/>
      <c r="I24" s="143">
        <f t="shared" si="1"/>
        <v>0.5</v>
      </c>
      <c r="J24" s="266"/>
    </row>
    <row r="25" spans="1:10" ht="42.75" x14ac:dyDescent="0.25">
      <c r="A25" s="1"/>
      <c r="B25" s="1"/>
      <c r="C25" s="141">
        <v>7</v>
      </c>
      <c r="D25" s="284"/>
      <c r="E25" s="127" t="str">
        <f>+IFERROR(INDEX(Hoja1!$E$2:$E$45,MATCH('Análisis Resultados'!C25,Hoja1!$H$2:$H$45,0)),"")</f>
        <v>Una estructura organizacional formalizada (organigrama)</v>
      </c>
      <c r="F25" s="128" t="str">
        <f>+IFERROR(VLOOKUP(C25,Hoja1!$H$2:$I$45,2,0),"")</f>
        <v>Si</v>
      </c>
      <c r="G25" s="129" t="str">
        <f t="shared" si="0"/>
        <v>Existe requerimiento pero se requiere actividades  dirigidas a su mantenimiento dentro del marco de las lineas de defensa.</v>
      </c>
      <c r="H25" s="18"/>
      <c r="I25" s="143">
        <f t="shared" si="1"/>
        <v>1</v>
      </c>
      <c r="J25" s="266"/>
    </row>
    <row r="26" spans="1:10" ht="45" x14ac:dyDescent="0.25">
      <c r="A26" s="1"/>
      <c r="B26" s="1"/>
      <c r="C26" s="141">
        <v>8</v>
      </c>
      <c r="D26" s="284"/>
      <c r="E26" s="127" t="str">
        <f>+IFERROR(INDEX(Hoja1!$E$2:$E$45,MATCH('Análisis Resultados'!C26,Hoja1!$H$2:$H$45,0)),"")</f>
        <v>Un manual de funciones que describa los empleos de la entidad</v>
      </c>
      <c r="F26" s="128" t="str">
        <f>+IFERROR(VLOOKUP(C26,Hoja1!$H$2:$I$45,2,0),"")</f>
        <v>Si</v>
      </c>
      <c r="G26" s="129" t="str">
        <f t="shared" si="0"/>
        <v>Existe requerimiento pero se requiere actividades  dirigidas a su mantenimiento dentro del marco de las lineas de defensa.</v>
      </c>
      <c r="H26" s="18"/>
      <c r="I26" s="143">
        <f t="shared" si="1"/>
        <v>1</v>
      </c>
      <c r="J26" s="266"/>
    </row>
    <row r="27" spans="1:10" ht="45" x14ac:dyDescent="0.25">
      <c r="A27" s="1"/>
      <c r="B27" s="1"/>
      <c r="C27" s="141">
        <v>9</v>
      </c>
      <c r="D27" s="284"/>
      <c r="E27" s="127" t="str">
        <f>+IFERROR(INDEX(Hoja1!$E$2:$E$45,MATCH('Análisis Resultados'!C27,Hoja1!$H$2:$H$45,0)),"")</f>
        <v>Vinculación de los servidores públicos de acuerdo con el marco normativo que les rige (carrera administrativa, libre nombramiento y remoción, entre otros)</v>
      </c>
      <c r="F27" s="128" t="str">
        <f>+IFERROR(VLOOKUP(C27,Hoja1!$H$2:$I$45,2,0),"")</f>
        <v>Si</v>
      </c>
      <c r="G27" s="129" t="str">
        <f t="shared" si="0"/>
        <v>Existe requerimiento pero se requiere actividades  dirigidas a su mantenimiento dentro del marco de las lineas de defensa.</v>
      </c>
      <c r="H27" s="18"/>
      <c r="I27" s="143">
        <f t="shared" si="1"/>
        <v>1</v>
      </c>
      <c r="J27" s="266"/>
    </row>
    <row r="28" spans="1:10" ht="45" x14ac:dyDescent="0.25">
      <c r="A28" s="1"/>
      <c r="B28" s="1"/>
      <c r="C28" s="141">
        <v>10</v>
      </c>
      <c r="D28" s="284"/>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66"/>
    </row>
    <row r="29" spans="1:10" ht="45" x14ac:dyDescent="0.25">
      <c r="A29" s="1"/>
      <c r="B29" s="1"/>
      <c r="C29" s="141">
        <v>11</v>
      </c>
      <c r="D29" s="284"/>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6"/>
    </row>
    <row r="30" spans="1:10" ht="45.75" thickBot="1" x14ac:dyDescent="0.3">
      <c r="A30" s="1"/>
      <c r="B30" s="1"/>
      <c r="C30" s="141">
        <v>12</v>
      </c>
      <c r="D30" s="285"/>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67"/>
    </row>
    <row r="31" spans="1:10" ht="45" customHeight="1" x14ac:dyDescent="0.25">
      <c r="A31" s="1"/>
      <c r="B31" s="1"/>
      <c r="C31" s="141">
        <v>13</v>
      </c>
      <c r="D31" s="279" t="s">
        <v>61</v>
      </c>
      <c r="E31" s="124" t="str">
        <f>+IFERROR(INDEX(Hoja1!$E$2:$E$45,MATCH('Análisis Resultados'!C31,Hoja1!$H$2:$H$45,0)),"")</f>
        <v>La identificación de cambios en su entorno que pueden generar consecuencias negativas en su gestión</v>
      </c>
      <c r="F31" s="125" t="str">
        <f>+IFERROR(VLOOKUP(C31,Hoja1!$H$2:$I$45,2,0),"")</f>
        <v>No</v>
      </c>
      <c r="G31" s="126" t="str">
        <f t="shared" si="0"/>
        <v>No se encuentra el aspecto  por lo tanto la entidad debera generar acciones dirigidas a que se cumpla con el requerimiento.</v>
      </c>
      <c r="H31" s="18"/>
      <c r="I31" s="142">
        <f t="shared" si="1"/>
        <v>0</v>
      </c>
      <c r="J31" s="263">
        <f>+AVERAGE(I31:I40)</f>
        <v>0.1</v>
      </c>
    </row>
    <row r="32" spans="1:10" ht="57" customHeight="1" x14ac:dyDescent="0.25">
      <c r="A32" s="1"/>
      <c r="B32" s="1"/>
      <c r="C32" s="141">
        <v>14</v>
      </c>
      <c r="D32" s="280"/>
      <c r="E32" s="127" t="str">
        <f>+IFERROR(INDEX(Hoja1!$E$2:$E$45,MATCH('Análisis Resultados'!C32,Hoja1!$H$2:$H$45,0)),"")</f>
        <v>La identificación de aquellos problemas o aspectos que pueden afectar el cumplimiento de los planes de la entidad y en general su gestión institucional (riesgos)</v>
      </c>
      <c r="F32" s="128" t="str">
        <f>+IFERROR(VLOOKUP(C32,Hoja1!$H$2:$I$45,2,0),"")</f>
        <v>No</v>
      </c>
      <c r="G32" s="129" t="str">
        <f t="shared" si="0"/>
        <v>No se encuentra el aspecto  por lo tanto la entidad debera generar acciones dirigidas a que se cumpla con el requerimiento.</v>
      </c>
      <c r="H32" s="18"/>
      <c r="I32" s="143">
        <f t="shared" si="1"/>
        <v>0</v>
      </c>
      <c r="J32" s="264"/>
    </row>
    <row r="33" spans="1:10" ht="54" customHeight="1" x14ac:dyDescent="0.25">
      <c r="A33" s="1"/>
      <c r="B33" s="1"/>
      <c r="C33" s="141">
        <v>15</v>
      </c>
      <c r="D33" s="280"/>
      <c r="E33" s="127" t="str">
        <f>+IFERROR(INDEX(Hoja1!$E$2:$E$45,MATCH('Análisis Resultados'!C33,Hoja1!$H$2:$H$45,0)),"")</f>
        <v>La identificación  de los riesgos relacionados con posibles actos de corrupción en el ejercicio de sus funciones</v>
      </c>
      <c r="F33" s="128" t="str">
        <f>+IFERROR(VLOOKUP(C33,Hoja1!$H$2:$I$45,2,0),"")</f>
        <v>No</v>
      </c>
      <c r="G33" s="129" t="str">
        <f t="shared" si="0"/>
        <v>No se encuentra el aspecto  por lo tanto la entidad debera generar acciones dirigidas a que se cumpla con el requerimiento.</v>
      </c>
      <c r="H33" s="18"/>
      <c r="I33" s="143">
        <f t="shared" si="1"/>
        <v>0</v>
      </c>
      <c r="J33" s="264"/>
    </row>
    <row r="34" spans="1:10" ht="45" x14ac:dyDescent="0.25">
      <c r="A34" s="1"/>
      <c r="B34" s="1"/>
      <c r="C34" s="141">
        <v>16</v>
      </c>
      <c r="D34" s="280"/>
      <c r="E34" s="127" t="str">
        <f>+IFERROR(INDEX(Hoja1!$E$2:$E$45,MATCH('Análisis Resultados'!C34,Hoja1!$H$2:$H$45,0)),"")</f>
        <v>Si su capacidad e infraestructura lo permite, identificación de riesgos asociados a las tecnologías de la información y las comunicaciones</v>
      </c>
      <c r="F34" s="128" t="str">
        <f>+IFERROR(VLOOKUP(C34,Hoja1!$H$2:$I$45,2,0),"")</f>
        <v>No</v>
      </c>
      <c r="G34" s="129" t="str">
        <f t="shared" si="0"/>
        <v>No se encuentra el aspecto  por lo tanto la entidad debera generar acciones dirigidas a que se cumpla con el requerimiento.</v>
      </c>
      <c r="H34" s="18"/>
      <c r="I34" s="143">
        <f t="shared" si="1"/>
        <v>0</v>
      </c>
      <c r="J34" s="264"/>
    </row>
    <row r="35" spans="1:10" ht="67.5" customHeight="1" x14ac:dyDescent="0.25">
      <c r="A35" s="1"/>
      <c r="B35" s="1"/>
      <c r="C35" s="141">
        <v>17</v>
      </c>
      <c r="D35" s="280"/>
      <c r="E35" s="127" t="str">
        <f>+IFERROR(INDEX(Hoja1!$E$2:$E$45,MATCH('Análisis Resultados'!C35,Hoja1!$H$2:$H$45,0)),"")</f>
        <v>Hacen seguimiento a los problemas (riesgos)  que pueden afectar el cumplimiento de sus procesos, programas o proyectos a cargo</v>
      </c>
      <c r="F35" s="128" t="str">
        <f>+IFERROR(VLOOKUP(C35,Hoja1!$H$2:$I$45,2,0),"")</f>
        <v>No</v>
      </c>
      <c r="G35" s="129" t="str">
        <f t="shared" si="0"/>
        <v>No se encuentra el aspecto  por lo tanto la entidad debera generar acciones dirigidas a que se cumpla con el requerimiento.</v>
      </c>
      <c r="H35" s="18"/>
      <c r="I35" s="143">
        <f t="shared" si="1"/>
        <v>0</v>
      </c>
      <c r="J35" s="264"/>
    </row>
    <row r="36" spans="1:10" ht="45" x14ac:dyDescent="0.25">
      <c r="A36" s="1"/>
      <c r="B36" s="1"/>
      <c r="C36" s="141">
        <v>18</v>
      </c>
      <c r="D36" s="280"/>
      <c r="E36" s="127" t="str">
        <f>+IFERROR(INDEX(Hoja1!$E$2:$E$45,MATCH('Análisis Resultados'!C36,Hoja1!$H$2:$H$45,0)),"")</f>
        <v>Informan de manera periódica a quien corresponda sobre el desempeño de las actividades de gestión de riesgos</v>
      </c>
      <c r="F36" s="128" t="str">
        <f>+IFERROR(VLOOKUP(C36,Hoja1!$H$2:$I$45,2,0),"")</f>
        <v>No</v>
      </c>
      <c r="G36" s="129" t="str">
        <f t="shared" si="0"/>
        <v>No se encuentra el aspecto  por lo tanto la entidad debera generar acciones dirigidas a que se cumpla con el requerimiento.</v>
      </c>
      <c r="H36" s="18"/>
      <c r="I36" s="143">
        <f t="shared" si="1"/>
        <v>0</v>
      </c>
      <c r="J36" s="264"/>
    </row>
    <row r="37" spans="1:10" ht="57" customHeight="1" x14ac:dyDescent="0.25">
      <c r="A37" s="1"/>
      <c r="B37" s="1"/>
      <c r="C37" s="141">
        <v>19</v>
      </c>
      <c r="D37" s="280"/>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No</v>
      </c>
      <c r="G37" s="129" t="str">
        <f t="shared" si="0"/>
        <v>No se encuentra el aspecto  por lo tanto la entidad debera generar acciones dirigidas a que se cumpla con el requerimiento.</v>
      </c>
      <c r="H37" s="18"/>
      <c r="I37" s="143">
        <f t="shared" si="1"/>
        <v>0</v>
      </c>
      <c r="J37" s="264"/>
    </row>
    <row r="38" spans="1:10" ht="45" x14ac:dyDescent="0.25">
      <c r="A38" s="1"/>
      <c r="B38" s="1"/>
      <c r="C38" s="141">
        <v>20</v>
      </c>
      <c r="D38" s="280"/>
      <c r="E38" s="127" t="str">
        <f>+IFERROR(INDEX(Hoja1!$E$2:$E$45,MATCH('Análisis Resultados'!C38,Hoja1!$H$2:$H$45,0)),"")</f>
        <v>Se definen espacios de reunión para conocerlos y proponer acciones para su solución</v>
      </c>
      <c r="F38" s="128" t="str">
        <f>+IFERROR(VLOOKUP(C38,Hoja1!$H$2:$I$45,2,0),"")</f>
        <v>No</v>
      </c>
      <c r="G38" s="129" t="str">
        <f t="shared" si="0"/>
        <v>No se encuentra el aspecto  por lo tanto la entidad debera generar acciones dirigidas a que se cumpla con el requerimiento.</v>
      </c>
      <c r="H38" s="18"/>
      <c r="I38" s="143">
        <f t="shared" si="1"/>
        <v>0</v>
      </c>
      <c r="J38" s="264"/>
    </row>
    <row r="39" spans="1:10" ht="33.75" x14ac:dyDescent="0.25">
      <c r="A39" s="1"/>
      <c r="B39" s="1"/>
      <c r="C39" s="141">
        <v>21</v>
      </c>
      <c r="D39" s="280"/>
      <c r="E39" s="127" t="str">
        <f>+IFERROR(INDEX(Hoja1!$E$2:$E$45,MATCH('Análisis Resultados'!C39,Hoja1!$H$2:$H$45,0)),"")</f>
        <v>Cada líder del equipo autónomamente toma las acciones para solucionarlos.</v>
      </c>
      <c r="F39" s="128" t="str">
        <f>+IFERROR(VLOOKUP(C39,Hoja1!$H$2:$I$45,2,0),"")</f>
        <v>En proceso</v>
      </c>
      <c r="G39" s="129" t="str">
        <f t="shared" si="0"/>
        <v>Se encuentra en proceso, pero requiere continuar con acciones dirigidas a contar con dicho aspecto de control.</v>
      </c>
      <c r="H39" s="18"/>
      <c r="I39" s="143">
        <f t="shared" si="1"/>
        <v>0.5</v>
      </c>
      <c r="J39" s="264"/>
    </row>
    <row r="40" spans="1:10" ht="34.5" thickBot="1" x14ac:dyDescent="0.3">
      <c r="A40" s="1"/>
      <c r="B40" s="1"/>
      <c r="C40" s="141">
        <v>22</v>
      </c>
      <c r="D40" s="280"/>
      <c r="E40" s="133" t="str">
        <f>+IFERROR(INDEX(Hoja1!$E$2:$E$45,MATCH('Análisis Resultados'!C40,Hoja1!$H$2:$H$45,0)),"")</f>
        <v>Solamente hasta que un organismo de control actúa se definen acciones de mejora.</v>
      </c>
      <c r="F40" s="134" t="str">
        <f>+IFERROR(VLOOKUP(C40,Hoja1!$H$2:$I$45,2,0),"")</f>
        <v>En proceso</v>
      </c>
      <c r="G40" s="135" t="str">
        <f t="shared" si="0"/>
        <v>Se encuentra en proceso, pero requiere continuar con acciones dirigidas a contar con dicho aspecto de control.</v>
      </c>
      <c r="H40" s="18"/>
      <c r="I40" s="145">
        <f t="shared" si="1"/>
        <v>0.5</v>
      </c>
      <c r="J40" s="264"/>
    </row>
    <row r="41" spans="1:10" ht="87.75" customHeight="1" x14ac:dyDescent="0.25">
      <c r="A41" s="1"/>
      <c r="B41" s="1"/>
      <c r="C41" s="141">
        <v>23</v>
      </c>
      <c r="D41" s="275" t="s">
        <v>79</v>
      </c>
      <c r="E41" s="124" t="str">
        <f>+IFERROR(INDEX(Hoja1!$E$2:$E$45,MATCH('Análisis Resultados'!C41,Hoja1!$H$2:$H$45,0)),"")</f>
        <v>Planes, acciones o estrategias que permitan subsanar las consecuencias de la materialización de los riesgos, cuando se presentan</v>
      </c>
      <c r="F41" s="125" t="str">
        <f>+IFERROR(VLOOKUP(C41,Hoja1!$H$2:$I$45,2,0),"")</f>
        <v>No</v>
      </c>
      <c r="G41" s="126" t="str">
        <f t="shared" si="0"/>
        <v>No se encuentra el aspecto  por lo tanto la entidad debera generar acciones dirigidas a que se cumpla con el requerimiento.</v>
      </c>
      <c r="H41" s="18"/>
      <c r="I41" s="142">
        <f t="shared" si="1"/>
        <v>0</v>
      </c>
      <c r="J41" s="263">
        <f>+AVERAGE(I41:I45)</f>
        <v>0.6</v>
      </c>
    </row>
    <row r="42" spans="1:10" ht="57" x14ac:dyDescent="0.25">
      <c r="A42" s="1"/>
      <c r="B42" s="1"/>
      <c r="C42" s="141">
        <v>24</v>
      </c>
      <c r="D42" s="276"/>
      <c r="E42" s="127" t="str">
        <f>+IFERROR(INDEX(Hoja1!$E$2:$E$45,MATCH('Análisis Resultados'!C42,Hoja1!$H$2:$H$45,0)),"")</f>
        <v>La definición de acciones o actividades para para dar tratamiento a los problemas identificados (mitigación de riesgos), incluyendo aquellos asociados a posibles actos de corrupción</v>
      </c>
      <c r="F42" s="128" t="str">
        <f>+IFERROR(VLOOKUP(C42,Hoja1!$H$2:$I$45,2,0),"")</f>
        <v>En proceso</v>
      </c>
      <c r="G42" s="129" t="str">
        <f t="shared" si="0"/>
        <v>Se encuentra en proceso, pero requiere continuar con acciones dirigidas a contar con dicho aspecto de control.</v>
      </c>
      <c r="H42" s="18"/>
      <c r="I42" s="143">
        <f t="shared" si="1"/>
        <v>0.5</v>
      </c>
      <c r="J42" s="264"/>
    </row>
    <row r="43" spans="1:10" ht="85.5" customHeight="1" x14ac:dyDescent="0.25">
      <c r="A43" s="1"/>
      <c r="B43" s="1"/>
      <c r="C43" s="141">
        <v>25</v>
      </c>
      <c r="D43" s="276"/>
      <c r="E43" s="127" t="str">
        <f>+IFERROR(INDEX(Hoja1!$E$2:$E$45,MATCH('Análisis Resultados'!C43,Hoja1!$H$2:$H$45,0)),"")</f>
        <v>Mecanismos de verificación de si se están o no mitigando los riesgos, o en su defecto, elaboración de planes de contingencia para subsanar sus consecuencias</v>
      </c>
      <c r="F43" s="128" t="str">
        <f>+IFERROR(VLOOKUP(C43,Hoja1!$H$2:$I$45,2,0),"")</f>
        <v>En proceso</v>
      </c>
      <c r="G43" s="129" t="str">
        <f t="shared" si="0"/>
        <v>Se encuentra en proceso, pero requiere continuar con acciones dirigidas a contar con dicho aspecto de control.</v>
      </c>
      <c r="H43" s="18"/>
      <c r="I43" s="143">
        <f t="shared" si="1"/>
        <v>0.5</v>
      </c>
      <c r="J43" s="264"/>
    </row>
    <row r="44" spans="1:10" ht="57" customHeight="1" x14ac:dyDescent="0.25">
      <c r="A44" s="1"/>
      <c r="B44" s="1"/>
      <c r="C44" s="141">
        <v>26</v>
      </c>
      <c r="D44" s="276"/>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64"/>
    </row>
    <row r="45" spans="1:10" ht="57" customHeight="1" thickBot="1" x14ac:dyDescent="0.3">
      <c r="A45" s="1"/>
      <c r="B45" s="1"/>
      <c r="C45" s="141">
        <v>27</v>
      </c>
      <c r="D45" s="277"/>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x14ac:dyDescent="0.25">
      <c r="A46" s="1"/>
      <c r="B46" s="1"/>
      <c r="C46" s="141">
        <v>28</v>
      </c>
      <c r="D46" s="274" t="s">
        <v>87</v>
      </c>
      <c r="E46" s="136" t="str">
        <f>+IFERROR(INDEX(Hoja1!$E$2:$E$45,MATCH('Análisis Resultados'!C46,Hoja1!$H$2:$H$45,0)),"")</f>
        <v xml:space="preserve">Lineamientos para dar tratamiento a la información de carácter reservado </v>
      </c>
      <c r="F46" s="137" t="str">
        <f>+IFERROR(VLOOKUP(C46,Hoja1!$H$2:$I$45,2,0),"")</f>
        <v>No</v>
      </c>
      <c r="G46" s="138" t="str">
        <f t="shared" si="0"/>
        <v>No se encuentra el aspecto  por lo tanto la entidad debera generar acciones dirigidas a que se cumpla con el requerimiento.</v>
      </c>
      <c r="H46" s="18"/>
      <c r="I46" s="146">
        <f t="shared" si="1"/>
        <v>0</v>
      </c>
      <c r="J46" s="264">
        <f>+AVERAGE(I46:I52)</f>
        <v>0.35714285714285715</v>
      </c>
    </row>
    <row r="47" spans="1:10" ht="92.25" customHeight="1" x14ac:dyDescent="0.25">
      <c r="A47" s="1"/>
      <c r="B47" s="1"/>
      <c r="C47" s="141">
        <v>29</v>
      </c>
      <c r="D47" s="274"/>
      <c r="E47" s="127" t="str">
        <f>+IFERROR(INDEX(Hoja1!$E$2:$E$45,MATCH('Análisis Resultados'!C47,Hoja1!$H$2:$H$45,0)),"")</f>
        <v>Identificación de información que produce en el marco de su gestión (Para los ciudadanos, organismos de control, organismos gubernamentales, entre otros)</v>
      </c>
      <c r="F47" s="128" t="str">
        <f>+IFERROR(VLOOKUP(C47,Hoja1!$H$2:$I$45,2,0),"")</f>
        <v>No</v>
      </c>
      <c r="G47" s="139" t="str">
        <f t="shared" si="0"/>
        <v>No se encuentra el aspecto  por lo tanto la entidad debera generar acciones dirigidas a que se cumpla con el requerimiento.</v>
      </c>
      <c r="H47" s="18"/>
      <c r="I47" s="147">
        <f t="shared" si="1"/>
        <v>0</v>
      </c>
      <c r="J47" s="264"/>
    </row>
    <row r="48" spans="1:10" ht="66.75" customHeight="1" x14ac:dyDescent="0.25">
      <c r="A48" s="1"/>
      <c r="B48" s="1"/>
      <c r="C48" s="141">
        <v>30</v>
      </c>
      <c r="D48" s="274"/>
      <c r="E48" s="127" t="str">
        <f>+IFERROR(INDEX(Hoja1!$E$2:$E$45,MATCH('Análisis Resultados'!C48,Hoja1!$H$2:$H$45,0)),"")</f>
        <v>Identificación de información necesaria para la operación de la entidad (normograma, presupuesto, talento humano, infraestructura física y tecnológica)</v>
      </c>
      <c r="F48" s="128" t="str">
        <f>+IFERROR(VLOOKUP(C48,Hoja1!$H$2:$I$45,2,0),"")</f>
        <v>No</v>
      </c>
      <c r="G48" s="139" t="str">
        <f t="shared" si="0"/>
        <v>No se encuentra el aspecto  por lo tanto la entidad debera generar acciones dirigidas a que se cumpla con el requerimiento.</v>
      </c>
      <c r="H48" s="18"/>
      <c r="I48" s="147">
        <f t="shared" si="1"/>
        <v>0</v>
      </c>
      <c r="J48" s="264"/>
    </row>
    <row r="49" spans="1:10" ht="60" customHeight="1" x14ac:dyDescent="0.25">
      <c r="A49" s="1"/>
      <c r="B49" s="1"/>
      <c r="C49" s="141">
        <v>31</v>
      </c>
      <c r="D49" s="274"/>
      <c r="E49" s="127" t="str">
        <f>+IFERROR(INDEX(Hoja1!$E$2:$E$45,MATCH('Análisis Resultados'!C49,Hoja1!$H$2:$H$45,0)),"")</f>
        <v>Si su capacidad e infraestructura lo permite, tecnologías de la información y las comunicaciones que soporten estos procesos</v>
      </c>
      <c r="F49" s="128" t="str">
        <f>+IFERROR(VLOOKUP(C49,Hoja1!$H$2:$I$45,2,0),"")</f>
        <v>No</v>
      </c>
      <c r="G49" s="139" t="str">
        <f t="shared" si="0"/>
        <v>No se encuentra el aspecto  por lo tanto la entidad debera generar acciones dirigidas a que se cumpla con el requerimiento.</v>
      </c>
      <c r="H49" s="18"/>
      <c r="I49" s="147">
        <f t="shared" si="1"/>
        <v>0</v>
      </c>
      <c r="J49" s="264"/>
    </row>
    <row r="50" spans="1:10" ht="57" customHeight="1" x14ac:dyDescent="0.25">
      <c r="A50" s="1"/>
      <c r="B50" s="1"/>
      <c r="C50" s="141">
        <v>32</v>
      </c>
      <c r="D50" s="274"/>
      <c r="E50" s="127" t="str">
        <f>+IFERROR(INDEX(Hoja1!$E$2:$E$45,MATCH('Análisis Resultados'!C50,Hoja1!$H$2:$H$45,0)),"")</f>
        <v>Canales de comunicación o mecanismos de reporte de información a otros organismos gubernamentales o de control</v>
      </c>
      <c r="F50" s="128" t="str">
        <f>+IFERROR(VLOOKUP(C50,Hoja1!$H$2:$I$45,2,0),"")</f>
        <v>En proceso</v>
      </c>
      <c r="G50" s="139" t="str">
        <f t="shared" si="0"/>
        <v>Se encuentra en proceso, pero requiere continuar con acciones dirigidas a contar con dicho aspecto de control.</v>
      </c>
      <c r="H50" s="18"/>
      <c r="I50" s="147">
        <f t="shared" si="1"/>
        <v>0.5</v>
      </c>
      <c r="J50" s="264"/>
    </row>
    <row r="51" spans="1:10" ht="57" customHeight="1" x14ac:dyDescent="0.25">
      <c r="A51" s="1"/>
      <c r="B51" s="1"/>
      <c r="C51" s="141">
        <v>33</v>
      </c>
      <c r="D51" s="274"/>
      <c r="E51" s="127" t="str">
        <f>+IFERROR(INDEX(Hoja1!$E$2:$E$45,MATCH('Análisis Resultados'!C51,Hoja1!$H$2:$H$45,0)),"")</f>
        <v>Responsables de la información institucional</v>
      </c>
      <c r="F51" s="128" t="str">
        <f>+IFERROR(VLOOKUP(C51,Hoja1!$H$2:$I$45,2,0),"")</f>
        <v>Si</v>
      </c>
      <c r="G51" s="139" t="str">
        <f t="shared" si="0"/>
        <v>Existe requerimiento pero se requiere actividades  dirigidas a su mantenimiento dentro del marco de las lineas de defensa.</v>
      </c>
      <c r="H51" s="18"/>
      <c r="I51" s="147">
        <f t="shared" si="1"/>
        <v>1</v>
      </c>
      <c r="J51" s="264"/>
    </row>
    <row r="52" spans="1:10" ht="45.75" thickBot="1" x14ac:dyDescent="0.3">
      <c r="A52" s="1"/>
      <c r="B52" s="1"/>
      <c r="C52" s="141">
        <v>34</v>
      </c>
      <c r="D52" s="274"/>
      <c r="E52" s="133" t="str">
        <f>+IFERROR(INDEX(Hoja1!$E$2:$E$45,MATCH('Análisis Resultados'!C52,Hoja1!$H$2:$H$45,0)),"")</f>
        <v>Canales de comunicación con los ciudadanos</v>
      </c>
      <c r="F52" s="134" t="str">
        <f>+IFERROR(VLOOKUP(C52,Hoja1!$H$2:$I$45,2,0),"")</f>
        <v>Si</v>
      </c>
      <c r="G52" s="140" t="str">
        <f t="shared" si="0"/>
        <v>Existe requerimiento pero se requiere actividades  dirigidas a su mantenimiento dentro del marco de las lineas de defensa.</v>
      </c>
      <c r="H52" s="18"/>
      <c r="I52" s="148">
        <f t="shared" si="1"/>
        <v>1</v>
      </c>
      <c r="J52" s="264"/>
    </row>
    <row r="53" spans="1:10" ht="41.25" customHeight="1" x14ac:dyDescent="0.25">
      <c r="A53" s="1"/>
      <c r="B53" s="1"/>
      <c r="C53" s="141">
        <v>35</v>
      </c>
      <c r="D53" s="268" t="s">
        <v>97</v>
      </c>
      <c r="E53" s="124" t="str">
        <f>+IFERROR(INDEX(Hoja1!$E$2:$E$45,MATCH('Análisis Resultados'!C53,Hoja1!$H$2:$H$45,0)),"")</f>
        <v>Mecanismos de evaluación de la gestión (cronogramas, indicadores, listas de chequeo u otros)</v>
      </c>
      <c r="F53" s="125" t="str">
        <f>+IFERROR(VLOOKUP(C53,Hoja1!$H$2:$I$45,2,0),"")</f>
        <v>No</v>
      </c>
      <c r="G53" s="126" t="str">
        <f t="shared" si="0"/>
        <v>No se encuentra el aspecto  por lo tanto la entidad debera generar acciones dirigidas a que se cumpla con el requerimiento.</v>
      </c>
      <c r="H53" s="18"/>
      <c r="I53" s="142">
        <f t="shared" si="1"/>
        <v>0</v>
      </c>
      <c r="J53" s="271">
        <f>+AVERAGE(I53:I62)</f>
        <v>0.4</v>
      </c>
    </row>
    <row r="54" spans="1:10" ht="58.5" customHeight="1" x14ac:dyDescent="0.25">
      <c r="A54" s="1"/>
      <c r="B54" s="1"/>
      <c r="C54" s="141">
        <v>36</v>
      </c>
      <c r="D54" s="269"/>
      <c r="E54" s="127" t="str">
        <f>+IFERROR(INDEX(Hoja1!$E$2:$E$45,MATCH('Análisis Resultados'!C54,Hoja1!$H$2:$H$45,0)),"")</f>
        <v>Medidas correctivas en caso de detectarse deficiencias en los ejercicios de evaluación, seguimiento o auditoría</v>
      </c>
      <c r="F54" s="128" t="str">
        <f>+IFERROR(VLOOKUP(C54,Hoja1!$H$2:$I$45,2,0),"")</f>
        <v>No</v>
      </c>
      <c r="G54" s="129" t="str">
        <f t="shared" si="0"/>
        <v>No se encuentra el aspecto  por lo tanto la entidad debera generar acciones dirigidas a que se cumpla con el requerimiento.</v>
      </c>
      <c r="H54" s="18"/>
      <c r="I54" s="143">
        <f t="shared" si="1"/>
        <v>0</v>
      </c>
      <c r="J54" s="272"/>
    </row>
    <row r="55" spans="1:10" s="1" customFormat="1" ht="84.75" customHeight="1" x14ac:dyDescent="0.25">
      <c r="C55" s="141">
        <v>37</v>
      </c>
      <c r="D55" s="269"/>
      <c r="E55" s="127" t="str">
        <f>+IFERROR(INDEX(Hoja1!$E$2:$E$45,MATCH('Análisis Resultados'!C55,Hoja1!$H$2:$H$45,0)),"")</f>
        <v>Seguimiento a los planes de mejoramiento suscritos con instancias de control internas o externas</v>
      </c>
      <c r="F55" s="128" t="str">
        <f>+IFERROR(VLOOKUP(C55,Hoja1!$H$2:$I$45,2,0),"")</f>
        <v>No</v>
      </c>
      <c r="G55" s="129" t="str">
        <f t="shared" si="0"/>
        <v>No se encuentra el aspecto  por lo tanto la entidad debera generar acciones dirigidas a que se cumpla con el requerimiento.</v>
      </c>
      <c r="H55" s="6"/>
      <c r="I55" s="143">
        <f t="shared" si="1"/>
        <v>0</v>
      </c>
      <c r="J55" s="272"/>
    </row>
    <row r="56" spans="1:10" s="1" customFormat="1" ht="78.75" customHeight="1" x14ac:dyDescent="0.25">
      <c r="C56" s="141">
        <v>38</v>
      </c>
      <c r="D56" s="269"/>
      <c r="E56" s="127" t="str">
        <f>+IFERROR(INDEX(Hoja1!$E$2:$E$45,MATCH('Análisis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28" t="str">
        <f>+IFERROR(VLOOKUP(C56,Hoja1!$H$2:$I$45,2,0),"")</f>
        <v>En proceso</v>
      </c>
      <c r="G56" s="129" t="str">
        <f t="shared" si="0"/>
        <v>Se encuentra en proceso, pero requiere continuar con acciones dirigidas a contar con dicho aspecto de control.</v>
      </c>
      <c r="H56" s="6"/>
      <c r="I56" s="143">
        <f t="shared" si="1"/>
        <v>0.5</v>
      </c>
      <c r="J56" s="272"/>
    </row>
    <row r="57" spans="1:10" s="1" customFormat="1" ht="54.75" customHeight="1" x14ac:dyDescent="0.25">
      <c r="C57" s="141">
        <v>39</v>
      </c>
      <c r="D57" s="269"/>
      <c r="E57" s="127" t="str">
        <f>+IFERROR(INDEX(Hoja1!$E$2:$E$45,MATCH('Análisis Resultados'!C57,Hoja1!$H$2:$H$45,0)),"")</f>
        <v>Evitar que los problemas (riesgos) obstaculicen el cumplimiento de los objetivos.</v>
      </c>
      <c r="F57" s="128" t="str">
        <f>+IFERROR(VLOOKUP(C57,Hoja1!$H$2:$I$45,2,0),"")</f>
        <v>En proceso</v>
      </c>
      <c r="G57" s="129" t="str">
        <f t="shared" si="0"/>
        <v>Se encuentra en proceso, pero requiere continuar con acciones dirigidas a contar con dicho aspecto de control.</v>
      </c>
      <c r="H57" s="6"/>
      <c r="I57" s="143">
        <f t="shared" si="1"/>
        <v>0.5</v>
      </c>
      <c r="J57" s="272"/>
    </row>
    <row r="58" spans="1:10" s="1" customFormat="1" ht="68.25" customHeight="1" x14ac:dyDescent="0.25">
      <c r="C58" s="141">
        <v>40</v>
      </c>
      <c r="D58" s="269"/>
      <c r="E58" s="127" t="str">
        <f>+IFERROR(INDEX(Hoja1!$E$2:$E$45,MATCH('Análisis Resultados'!C58,Hoja1!$H$2:$H$45,0)),"")</f>
        <v>Controlar los puntos críticos en los procesos.</v>
      </c>
      <c r="F58" s="128" t="str">
        <f>+IFERROR(VLOOKUP(C58,Hoja1!$H$2:$I$45,2,0),"")</f>
        <v>En proceso</v>
      </c>
      <c r="G58" s="129" t="str">
        <f t="shared" si="0"/>
        <v>Se encuentra en proceso, pero requiere continuar con acciones dirigidas a contar con dicho aspecto de control.</v>
      </c>
      <c r="H58" s="6"/>
      <c r="I58" s="143">
        <f t="shared" si="1"/>
        <v>0.5</v>
      </c>
      <c r="J58" s="272"/>
    </row>
    <row r="59" spans="1:10" s="1" customFormat="1" ht="45" customHeight="1" x14ac:dyDescent="0.25">
      <c r="C59" s="141">
        <v>41</v>
      </c>
      <c r="D59" s="269"/>
      <c r="E59" s="127" t="str">
        <f>+IFERROR(INDEX(Hoja1!$E$2:$E$45,MATCH('Análisis Resultados'!C59,Hoja1!$H$2:$H$45,0)),"")</f>
        <v>Diseñar acciones adecuadas para controlar los problemas que afectan el cumplimiento de las metas y objetivos institucionales (riesgos).</v>
      </c>
      <c r="F59" s="128" t="str">
        <f>+IFERROR(VLOOKUP(C59,Hoja1!$H$2:$I$45,2,0),"")</f>
        <v>En proceso</v>
      </c>
      <c r="G59" s="129" t="str">
        <f t="shared" si="0"/>
        <v>Se encuentra en proceso, pero requiere continuar con acciones dirigidas a contar con dicho aspecto de control.</v>
      </c>
      <c r="H59" s="6"/>
      <c r="I59" s="143">
        <f t="shared" si="1"/>
        <v>0.5</v>
      </c>
      <c r="J59" s="272"/>
    </row>
    <row r="60" spans="1:10" s="1" customFormat="1" ht="51.75" customHeight="1" x14ac:dyDescent="0.25">
      <c r="C60" s="141">
        <v>42</v>
      </c>
      <c r="D60" s="269"/>
      <c r="E60" s="127" t="str">
        <f>+IFERROR(INDEX(Hoja1!$E$2:$E$45,MATCH('Análisis Resultados'!C60,Hoja1!$H$2:$H$45,0)),"")</f>
        <v>Ejecutar las acciones de acuerdo a como se diseñaron previamente.</v>
      </c>
      <c r="F60" s="128" t="str">
        <f>+IFERROR(VLOOKUP(C60,Hoja1!$H$2:$I$45,2,0),"")</f>
        <v>En proceso</v>
      </c>
      <c r="G60" s="129" t="str">
        <f t="shared" si="0"/>
        <v>Se encuentra en proceso, pero requiere continuar con acciones dirigidas a contar con dicho aspecto de control.</v>
      </c>
      <c r="H60" s="6"/>
      <c r="I60" s="143">
        <f t="shared" si="1"/>
        <v>0.5</v>
      </c>
      <c r="J60" s="272"/>
    </row>
    <row r="61" spans="1:10" s="1" customFormat="1" ht="84" customHeight="1" x14ac:dyDescent="0.25">
      <c r="C61" s="141">
        <v>43</v>
      </c>
      <c r="D61" s="269"/>
      <c r="E61" s="127" t="str">
        <f>+IFERROR(INDEX(Hoja1!$E$2:$E$45,MATCH('Análisis Resultados'!C61,Hoja1!$H$2:$H$45,0)),"")</f>
        <v>No se gestionan los problemas que afectan el cumplimiento de las funciones y objetivos institucionales(riesgos).</v>
      </c>
      <c r="F61" s="128" t="str">
        <f>+IFERROR(VLOOKUP(C61,Hoja1!$H$2:$I$45,2,0),"")</f>
        <v>En proceso</v>
      </c>
      <c r="G61" s="129" t="str">
        <f t="shared" si="0"/>
        <v>Se encuentra en proceso, pero requiere continuar con acciones dirigidas a contar con dicho aspecto de control.</v>
      </c>
      <c r="H61" s="6"/>
      <c r="I61" s="143">
        <f t="shared" si="1"/>
        <v>0.5</v>
      </c>
      <c r="J61" s="272"/>
    </row>
    <row r="62" spans="1:10" s="1" customFormat="1" ht="60" customHeight="1" thickBot="1" x14ac:dyDescent="0.3">
      <c r="C62" s="141">
        <v>44</v>
      </c>
      <c r="D62" s="270"/>
      <c r="E62" s="130" t="str">
        <f>+IFERROR(INDEX(Hoja1!$E$2:$E$45,MATCH('Análisis Resultados'!C62,Hoja1!$H$2:$H$45,0)),"")</f>
        <v>La entidad participa en el  Comité Municipal de Auditoría?</v>
      </c>
      <c r="F62" s="131" t="str">
        <f>+IFERROR(VLOOKUP(C62,Hoja1!$H$2:$I$45,2,0),"")</f>
        <v>Si</v>
      </c>
      <c r="G62" s="132" t="str">
        <f t="shared" si="0"/>
        <v>Existe requerimiento pero se requiere actividades  dirigidas a su mantenimiento dentro del marco de las lineas de defensa.</v>
      </c>
      <c r="H62" s="6"/>
      <c r="I62" s="144">
        <f t="shared" si="1"/>
        <v>1</v>
      </c>
      <c r="J62" s="273"/>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zoomScale="55" zoomScaleNormal="55" workbookViewId="0">
      <selection activeCell="F4" sqref="F4:M5"/>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1" t="s">
        <v>124</v>
      </c>
      <c r="F4" s="331" t="s">
        <v>221</v>
      </c>
      <c r="G4" s="331"/>
      <c r="H4" s="331"/>
      <c r="I4" s="331"/>
      <c r="J4" s="331"/>
      <c r="K4" s="331"/>
      <c r="L4" s="331"/>
      <c r="M4" s="331"/>
      <c r="N4" s="7"/>
      <c r="O4" s="7"/>
      <c r="P4" s="8"/>
      <c r="Q4" s="1"/>
    </row>
    <row r="5" spans="1:17" ht="45.75" customHeight="1" x14ac:dyDescent="0.3">
      <c r="A5" s="1"/>
      <c r="B5" s="5"/>
      <c r="C5" s="6"/>
      <c r="D5" s="6"/>
      <c r="E5" s="302"/>
      <c r="F5" s="331"/>
      <c r="G5" s="331"/>
      <c r="H5" s="331"/>
      <c r="I5" s="331"/>
      <c r="J5" s="331"/>
      <c r="K5" s="331"/>
      <c r="L5" s="331"/>
      <c r="M5" s="331"/>
      <c r="N5" s="7"/>
      <c r="O5" s="7"/>
      <c r="P5" s="8"/>
      <c r="Q5" s="1"/>
    </row>
    <row r="6" spans="1:17" ht="66.75" customHeight="1" x14ac:dyDescent="0.3">
      <c r="A6" s="1"/>
      <c r="B6" s="5"/>
      <c r="C6" s="6"/>
      <c r="D6" s="6"/>
      <c r="E6" s="96" t="s">
        <v>125</v>
      </c>
      <c r="F6" s="332" t="s">
        <v>222</v>
      </c>
      <c r="G6" s="333"/>
      <c r="H6" s="333"/>
      <c r="I6" s="333"/>
      <c r="J6" s="333"/>
      <c r="K6" s="333"/>
      <c r="L6" s="333"/>
      <c r="M6" s="334"/>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3" t="s">
        <v>126</v>
      </c>
      <c r="J8" s="304"/>
      <c r="K8" s="305"/>
      <c r="L8" s="6"/>
      <c r="M8" s="149">
        <f>+AVERAGE(G26,G28,G30,G32,G34)</f>
        <v>0.41642857142857148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06" t="s">
        <v>127</v>
      </c>
      <c r="D18" s="307"/>
      <c r="E18" s="307"/>
      <c r="F18" s="307"/>
      <c r="G18" s="307"/>
      <c r="H18" s="307"/>
      <c r="I18" s="307"/>
      <c r="J18" s="307"/>
      <c r="K18" s="307"/>
      <c r="L18" s="307"/>
      <c r="M18" s="308"/>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09" t="s">
        <v>128</v>
      </c>
      <c r="D20" s="310"/>
      <c r="E20" s="152" t="s">
        <v>76</v>
      </c>
      <c r="F20" s="311" t="s">
        <v>209</v>
      </c>
      <c r="G20" s="311"/>
      <c r="H20" s="311"/>
      <c r="I20" s="311"/>
      <c r="J20" s="311"/>
      <c r="K20" s="311"/>
      <c r="L20" s="311"/>
      <c r="M20" s="312"/>
      <c r="N20" s="15"/>
      <c r="O20" s="15"/>
      <c r="P20" s="8"/>
      <c r="Q20" s="1"/>
    </row>
    <row r="21" spans="1:17" ht="126.75" customHeight="1" x14ac:dyDescent="0.25">
      <c r="A21" s="1"/>
      <c r="B21" s="5"/>
      <c r="C21" s="297" t="s">
        <v>129</v>
      </c>
      <c r="D21" s="298"/>
      <c r="E21" s="153" t="s">
        <v>36</v>
      </c>
      <c r="F21" s="313" t="s">
        <v>210</v>
      </c>
      <c r="G21" s="313"/>
      <c r="H21" s="313"/>
      <c r="I21" s="313"/>
      <c r="J21" s="313"/>
      <c r="K21" s="313"/>
      <c r="L21" s="313"/>
      <c r="M21" s="314"/>
      <c r="N21" s="15"/>
      <c r="O21" s="15"/>
      <c r="P21" s="8"/>
      <c r="Q21" s="1"/>
    </row>
    <row r="22" spans="1:17" ht="151.5" customHeight="1" thickBot="1" x14ac:dyDescent="0.3">
      <c r="A22" s="1"/>
      <c r="B22" s="5"/>
      <c r="C22" s="299" t="s">
        <v>130</v>
      </c>
      <c r="D22" s="300"/>
      <c r="E22" s="154" t="s">
        <v>36</v>
      </c>
      <c r="F22" s="315" t="s">
        <v>211</v>
      </c>
      <c r="G22" s="315"/>
      <c r="H22" s="315"/>
      <c r="I22" s="315"/>
      <c r="J22" s="315"/>
      <c r="K22" s="315"/>
      <c r="L22" s="315"/>
      <c r="M22" s="316"/>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25" t="s">
        <v>134</v>
      </c>
      <c r="J24" s="325"/>
      <c r="K24" s="325"/>
      <c r="L24" s="325"/>
      <c r="M24" s="325"/>
      <c r="N24" s="33"/>
      <c r="O24" s="33"/>
      <c r="P24" s="8"/>
      <c r="Q24" s="17"/>
    </row>
    <row r="25" spans="1:17" ht="13.5" customHeight="1" thickBot="1" x14ac:dyDescent="0.3">
      <c r="A25" s="1"/>
      <c r="B25" s="5"/>
      <c r="C25" s="32"/>
      <c r="D25" s="18"/>
      <c r="E25" s="18"/>
      <c r="F25" s="18"/>
      <c r="G25" s="18"/>
      <c r="H25" s="18"/>
      <c r="I25" s="329"/>
      <c r="J25" s="329"/>
      <c r="K25" s="329"/>
      <c r="L25" s="329"/>
      <c r="M25" s="329"/>
      <c r="N25" s="34"/>
      <c r="O25" s="34"/>
      <c r="P25" s="8"/>
      <c r="Q25" s="1"/>
    </row>
    <row r="26" spans="1:17" ht="155.25" customHeight="1" thickBot="1" x14ac:dyDescent="0.3">
      <c r="A26" s="1"/>
      <c r="B26" s="5"/>
      <c r="C26" s="90" t="s">
        <v>32</v>
      </c>
      <c r="D26" s="19"/>
      <c r="E26" s="150" t="str">
        <f>+IF(Hoja1!K2&gt;=0.5,"Si","No")</f>
        <v>Si</v>
      </c>
      <c r="F26" s="20"/>
      <c r="G26" s="151">
        <f>+Hoja1!K2</f>
        <v>0.625</v>
      </c>
      <c r="H26" s="20"/>
      <c r="I26" s="326" t="s">
        <v>212</v>
      </c>
      <c r="J26" s="327"/>
      <c r="K26" s="327"/>
      <c r="L26" s="327"/>
      <c r="M26" s="328"/>
      <c r="N26" s="35"/>
      <c r="O26" s="36"/>
      <c r="P26" s="21"/>
      <c r="Q26" s="22"/>
    </row>
    <row r="27" spans="1:17" ht="27" thickBot="1" x14ac:dyDescent="0.45">
      <c r="A27" s="1"/>
      <c r="B27" s="5"/>
      <c r="C27" s="91"/>
      <c r="D27" s="23"/>
      <c r="E27" s="98"/>
      <c r="F27" s="18"/>
      <c r="G27" s="24"/>
      <c r="H27" s="18"/>
      <c r="I27" s="330"/>
      <c r="J27" s="330"/>
      <c r="K27" s="330"/>
      <c r="L27" s="330"/>
      <c r="M27" s="330"/>
      <c r="N27" s="37"/>
      <c r="O27" s="37"/>
      <c r="P27" s="8"/>
      <c r="Q27" s="1"/>
    </row>
    <row r="28" spans="1:17" ht="111.75" customHeight="1" thickBot="1" x14ac:dyDescent="0.3">
      <c r="A28" s="1"/>
      <c r="B28" s="5"/>
      <c r="C28" s="92" t="s">
        <v>135</v>
      </c>
      <c r="D28" s="19"/>
      <c r="E28" s="150" t="str">
        <f>+IF(Hoja1!K14&gt;=0.5,"Si","No")</f>
        <v>No</v>
      </c>
      <c r="F28" s="18"/>
      <c r="G28" s="151">
        <f>+Hoja1!K14</f>
        <v>0.1</v>
      </c>
      <c r="H28" s="18"/>
      <c r="I28" s="317" t="s">
        <v>213</v>
      </c>
      <c r="J28" s="318"/>
      <c r="K28" s="318"/>
      <c r="L28" s="318"/>
      <c r="M28" s="319"/>
      <c r="N28" s="35"/>
      <c r="O28" s="35"/>
      <c r="P28" s="8"/>
      <c r="Q28" s="1"/>
    </row>
    <row r="29" spans="1:17" ht="27" thickBot="1" x14ac:dyDescent="0.45">
      <c r="A29" s="1"/>
      <c r="B29" s="5"/>
      <c r="C29" s="91"/>
      <c r="D29" s="23"/>
      <c r="E29" s="98"/>
      <c r="F29" s="18"/>
      <c r="G29" s="24"/>
      <c r="H29" s="18"/>
      <c r="I29" s="330"/>
      <c r="J29" s="330"/>
      <c r="K29" s="330"/>
      <c r="L29" s="330"/>
      <c r="M29" s="330"/>
      <c r="N29" s="37"/>
      <c r="O29" s="37"/>
      <c r="P29" s="8"/>
      <c r="Q29" s="1"/>
    </row>
    <row r="30" spans="1:17" ht="168" customHeight="1" thickBot="1" x14ac:dyDescent="0.3">
      <c r="A30" s="1"/>
      <c r="B30" s="5"/>
      <c r="C30" s="93" t="s">
        <v>136</v>
      </c>
      <c r="D30" s="19"/>
      <c r="E30" s="150" t="str">
        <f>+IF(Hoja1!K24&gt;=0.5,"Si","No")</f>
        <v>Si</v>
      </c>
      <c r="F30" s="18"/>
      <c r="G30" s="151">
        <f>+Hoja1!K24</f>
        <v>0.6</v>
      </c>
      <c r="H30" s="18"/>
      <c r="I30" s="320" t="s">
        <v>214</v>
      </c>
      <c r="J30" s="321"/>
      <c r="K30" s="321"/>
      <c r="L30" s="321"/>
      <c r="M30" s="322"/>
      <c r="N30" s="35"/>
      <c r="O30" s="35"/>
      <c r="P30" s="8"/>
      <c r="Q30" s="1"/>
    </row>
    <row r="31" spans="1:17" ht="27" thickBot="1" x14ac:dyDescent="0.45">
      <c r="A31" s="1"/>
      <c r="B31" s="5"/>
      <c r="C31" s="91"/>
      <c r="D31" s="23"/>
      <c r="E31" s="98"/>
      <c r="F31" s="18"/>
      <c r="G31" s="24"/>
      <c r="H31" s="18"/>
      <c r="I31" s="330"/>
      <c r="J31" s="330"/>
      <c r="K31" s="330"/>
      <c r="L31" s="330"/>
      <c r="M31" s="330"/>
      <c r="N31" s="37"/>
      <c r="O31" s="37"/>
      <c r="P31" s="8"/>
      <c r="Q31" s="1"/>
    </row>
    <row r="32" spans="1:17" ht="171" customHeight="1" thickBot="1" x14ac:dyDescent="0.3">
      <c r="A32" s="1"/>
      <c r="B32" s="5"/>
      <c r="C32" s="94" t="s">
        <v>87</v>
      </c>
      <c r="D32" s="19"/>
      <c r="E32" s="150" t="str">
        <f>+IF(Hoja1!K29&gt;=0.5,"Si","No")</f>
        <v>No</v>
      </c>
      <c r="F32" s="18"/>
      <c r="G32" s="151">
        <f>+Hoja1!K29</f>
        <v>0.35714285714285715</v>
      </c>
      <c r="H32" s="18"/>
      <c r="I32" s="317" t="s">
        <v>215</v>
      </c>
      <c r="J32" s="323"/>
      <c r="K32" s="323"/>
      <c r="L32" s="323"/>
      <c r="M32" s="324"/>
      <c r="N32" s="35"/>
      <c r="O32" s="35"/>
      <c r="P32" s="8"/>
      <c r="Q32" s="1"/>
    </row>
    <row r="33" spans="1:17" ht="27" thickBot="1" x14ac:dyDescent="0.45">
      <c r="A33" s="1"/>
      <c r="B33" s="5"/>
      <c r="C33" s="91"/>
      <c r="D33" s="23"/>
      <c r="E33" s="98"/>
      <c r="F33" s="18"/>
      <c r="G33" s="24"/>
      <c r="H33" s="18"/>
      <c r="I33" s="330"/>
      <c r="J33" s="330"/>
      <c r="K33" s="330"/>
      <c r="L33" s="330"/>
      <c r="M33" s="330"/>
      <c r="N33" s="37"/>
      <c r="O33" s="37"/>
      <c r="P33" s="8"/>
      <c r="Q33" s="1"/>
    </row>
    <row r="34" spans="1:17" ht="164.25" customHeight="1" thickBot="1" x14ac:dyDescent="0.3">
      <c r="A34" s="1"/>
      <c r="B34" s="5"/>
      <c r="C34" s="95" t="s">
        <v>137</v>
      </c>
      <c r="D34" s="19"/>
      <c r="E34" s="97" t="str">
        <f>+IF(Hoja1!K36&gt;=0.5,"Si","No")</f>
        <v>No</v>
      </c>
      <c r="F34" s="18"/>
      <c r="G34" s="151">
        <f>+Hoja1!K36</f>
        <v>0.4</v>
      </c>
      <c r="H34" s="18"/>
      <c r="I34" s="317" t="s">
        <v>216</v>
      </c>
      <c r="J34" s="318"/>
      <c r="K34" s="318"/>
      <c r="L34" s="318"/>
      <c r="M34" s="31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Oportunidad de mejora</v>
      </c>
      <c r="G2" s="159">
        <f>+VLOOKUP(A2,'Estado SCI'!$A$16:$L$59,12,0)</f>
        <v>10.122999999999999</v>
      </c>
      <c r="H2" s="159">
        <f t="shared" ref="H2:H45" si="0">+_xlfn.RANK.EQ(G2,$G$2:$G$45,1)</f>
        <v>4</v>
      </c>
      <c r="I2" s="159" t="str">
        <f>+IF(VLOOKUP(A2,'Estado SCI'!$A$16:$G$59,7,0)="","",VLOOKUP(A2,'Estado SCI'!$A$16:$G$59,7,0))</f>
        <v>En proceso</v>
      </c>
      <c r="J2" s="160">
        <f>+IF(I2="Si",1,IF(I2="En proceso",0.5,0))</f>
        <v>0.5</v>
      </c>
      <c r="K2" s="161">
        <f t="shared" ref="K2:K45" si="1">+AVERAGEIF($B$2:$B$45,B2,$J$2:$J$45)</f>
        <v>0.625</v>
      </c>
    </row>
    <row r="3" spans="1:11" x14ac:dyDescent="0.25">
      <c r="A3" s="159" t="s">
        <v>144</v>
      </c>
      <c r="B3" s="159" t="s">
        <v>32</v>
      </c>
      <c r="C3" s="159" t="s">
        <v>33</v>
      </c>
      <c r="D3" s="159" t="s">
        <v>37</v>
      </c>
      <c r="E3" s="159" t="s">
        <v>38</v>
      </c>
      <c r="F3" s="159" t="str">
        <f>+VLOOKUP(A3,'Estado SCI'!$A$16:$I$59,9,0)</f>
        <v>Deficiencia de control</v>
      </c>
      <c r="G3" s="159">
        <f>+VLOOKUP(A3,'Estado SCI'!$A$16:$L$59,12,0)</f>
        <v>0.1234</v>
      </c>
      <c r="H3" s="159">
        <f t="shared" si="0"/>
        <v>1</v>
      </c>
      <c r="I3" s="159" t="str">
        <f>+IF(VLOOKUP(A3,'Estado SCI'!$A$16:$G$59,7,0)="","",VLOOKUP(A3,'Estado SCI'!$A$16:$G$59,7,0))</f>
        <v>No</v>
      </c>
      <c r="J3" s="160">
        <f t="shared" ref="J3:J45" si="2">+IF(I3="Si",1,IF(I3="En proceso",0.5,0))</f>
        <v>0</v>
      </c>
      <c r="K3" s="161">
        <f t="shared" si="1"/>
        <v>0.625</v>
      </c>
    </row>
    <row r="4" spans="1:11" x14ac:dyDescent="0.25">
      <c r="A4" s="159" t="s">
        <v>145</v>
      </c>
      <c r="B4" s="159" t="s">
        <v>32</v>
      </c>
      <c r="C4" s="159" t="s">
        <v>33</v>
      </c>
      <c r="D4" s="159" t="s">
        <v>40</v>
      </c>
      <c r="E4" s="159" t="s">
        <v>41</v>
      </c>
      <c r="F4" s="159" t="str">
        <f>+VLOOKUP(A4,'Estado SCI'!$A$16:$I$59,9,0)</f>
        <v>Oportunidad de mejora</v>
      </c>
      <c r="G4" s="159">
        <f>+VLOOKUP(A4,'Estado SCI'!$A$16:$L$59,12,0)</f>
        <v>10.12345</v>
      </c>
      <c r="H4" s="159">
        <f t="shared" si="0"/>
        <v>5</v>
      </c>
      <c r="I4" s="159" t="str">
        <f>+IF(VLOOKUP(A4,'Estado SCI'!$A$16:$G$59,7,0)="","",VLOOKUP(A4,'Estado SCI'!$A$16:$G$59,7,0))</f>
        <v>En proceso</v>
      </c>
      <c r="J4" s="160">
        <f t="shared" si="2"/>
        <v>0.5</v>
      </c>
      <c r="K4" s="161">
        <f t="shared" si="1"/>
        <v>0.625</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7</v>
      </c>
      <c r="I5" s="159" t="str">
        <f>+IF(VLOOKUP(A5,'Estado SCI'!$A$16:$G$59,7,0)="","",VLOOKUP(A5,'Estado SCI'!$A$16:$G$59,7,0))</f>
        <v>Si</v>
      </c>
      <c r="J5" s="160">
        <f t="shared" si="2"/>
        <v>1</v>
      </c>
      <c r="K5" s="161">
        <f t="shared" si="1"/>
        <v>0.625</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8</v>
      </c>
      <c r="I6" s="159" t="str">
        <f>+IF(VLOOKUP(A6,'Estado SCI'!$A$16:$G$59,7,0)="","",VLOOKUP(A6,'Estado SCI'!$A$16:$G$59,7,0))</f>
        <v>Si</v>
      </c>
      <c r="J6" s="160">
        <f t="shared" si="2"/>
        <v>1</v>
      </c>
      <c r="K6" s="161">
        <f t="shared" si="1"/>
        <v>0.625</v>
      </c>
    </row>
    <row r="7" spans="1:11" x14ac:dyDescent="0.25">
      <c r="A7" s="159" t="s">
        <v>148</v>
      </c>
      <c r="B7" s="159" t="s">
        <v>32</v>
      </c>
      <c r="C7" s="159" t="s">
        <v>33</v>
      </c>
      <c r="D7" s="159" t="s">
        <v>46</v>
      </c>
      <c r="E7" s="159" t="s">
        <v>47</v>
      </c>
      <c r="F7" s="159" t="str">
        <f>+VLOOKUP(A7,'Estado SCI'!$A$16:$I$59,9,0)</f>
        <v>Oportunidad de mejora</v>
      </c>
      <c r="G7" s="159">
        <f>+VLOOKUP(A7,'Estado SCI'!$A$16:$L$59,12,0)</f>
        <v>10.123456789</v>
      </c>
      <c r="H7" s="159">
        <f t="shared" si="0"/>
        <v>6</v>
      </c>
      <c r="I7" s="159" t="str">
        <f>+IF(VLOOKUP(A7,'Estado SCI'!$A$16:$G$59,7,0)="","",VLOOKUP(A7,'Estado SCI'!$A$16:$G$59,7,0))</f>
        <v>En proceso</v>
      </c>
      <c r="J7" s="160">
        <f t="shared" si="2"/>
        <v>0.5</v>
      </c>
      <c r="K7" s="161">
        <f t="shared" si="1"/>
        <v>0.625</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9</v>
      </c>
      <c r="I8" s="159" t="str">
        <f>+IF(VLOOKUP(A8,'Estado SCI'!$A$16:$G$59,7,0)="","",VLOOKUP(A8,'Estado SCI'!$A$16:$G$59,7,0))</f>
        <v>Si</v>
      </c>
      <c r="J8" s="160">
        <f t="shared" si="2"/>
        <v>1</v>
      </c>
      <c r="K8" s="161">
        <f t="shared" si="1"/>
        <v>0.625</v>
      </c>
    </row>
    <row r="9" spans="1:11" x14ac:dyDescent="0.25">
      <c r="A9" s="159" t="s">
        <v>150</v>
      </c>
      <c r="B9" s="159" t="s">
        <v>32</v>
      </c>
      <c r="C9" s="159" t="s">
        <v>33</v>
      </c>
      <c r="D9" s="159" t="s">
        <v>50</v>
      </c>
      <c r="E9" s="159" t="s">
        <v>51</v>
      </c>
      <c r="F9" s="159" t="str">
        <f>+VLOOKUP(A9,'Estado SCI'!$A$16:$I$59,9,0)</f>
        <v>Deficiencia de control</v>
      </c>
      <c r="G9" s="159">
        <f>+VLOOKUP(A9,'Estado SCI'!$A$16:$L$59,12,0)</f>
        <v>0.12345678911999999</v>
      </c>
      <c r="H9" s="159">
        <f t="shared" si="0"/>
        <v>2</v>
      </c>
      <c r="I9" s="159" t="str">
        <f>+IF(VLOOKUP(A9,'Estado SCI'!$A$16:$G$59,7,0)="","",VLOOKUP(A9,'Estado SCI'!$A$16:$G$59,7,0))</f>
        <v>No</v>
      </c>
      <c r="J9" s="160">
        <f t="shared" si="2"/>
        <v>0</v>
      </c>
      <c r="K9" s="161">
        <f t="shared" si="1"/>
        <v>0.625</v>
      </c>
    </row>
    <row r="10" spans="1:11" x14ac:dyDescent="0.25">
      <c r="A10" s="159" t="s">
        <v>151</v>
      </c>
      <c r="B10" s="159" t="s">
        <v>32</v>
      </c>
      <c r="C10" s="159" t="s">
        <v>33</v>
      </c>
      <c r="D10" s="159" t="s">
        <v>52</v>
      </c>
      <c r="E10" s="159" t="s">
        <v>53</v>
      </c>
      <c r="F10" s="159" t="str">
        <f>+VLOOKUP(A10,'Estado SCI'!$A$16:$I$59,9,0)</f>
        <v>Deficiencia de control</v>
      </c>
      <c r="G10" s="159">
        <f>+VLOOKUP(A10,'Estado SCI'!$A$16:$L$59,12,0)</f>
        <v>0.123456789123</v>
      </c>
      <c r="H10" s="159">
        <f t="shared" si="0"/>
        <v>3</v>
      </c>
      <c r="I10" s="159" t="str">
        <f>+IF(VLOOKUP(A10,'Estado SCI'!$A$16:$G$59,7,0)="","",VLOOKUP(A10,'Estado SCI'!$A$16:$G$59,7,0))</f>
        <v>No</v>
      </c>
      <c r="J10" s="160">
        <f t="shared" si="2"/>
        <v>0</v>
      </c>
      <c r="K10" s="161">
        <f t="shared" si="1"/>
        <v>0.625</v>
      </c>
    </row>
    <row r="11" spans="1:11" x14ac:dyDescent="0.25">
      <c r="A11" s="159" t="s">
        <v>152</v>
      </c>
      <c r="B11" s="159" t="s">
        <v>32</v>
      </c>
      <c r="C11" s="159" t="s">
        <v>33</v>
      </c>
      <c r="D11" s="159" t="s">
        <v>54</v>
      </c>
      <c r="E11" s="159" t="s">
        <v>55</v>
      </c>
      <c r="F11" s="159" t="str">
        <f>+VLOOKUP(A11,'Estado SCI'!$A$16:$I$59,9,0)</f>
        <v>Mantenimiento del control</v>
      </c>
      <c r="G11" s="159">
        <f>+VLOOKUP(A11,'Estado SCI'!$A$16:$L$59,12,0)</f>
        <v>20.123456789123399</v>
      </c>
      <c r="H11" s="159">
        <f t="shared" si="0"/>
        <v>10</v>
      </c>
      <c r="I11" s="159" t="str">
        <f>+IF(VLOOKUP(A11,'Estado SCI'!$A$16:$G$59,7,0)="","",VLOOKUP(A11,'Estado SCI'!$A$16:$G$59,7,0))</f>
        <v>Si</v>
      </c>
      <c r="J11" s="160">
        <f t="shared" si="2"/>
        <v>1</v>
      </c>
      <c r="K11" s="161">
        <f t="shared" si="1"/>
        <v>0.625</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0.625</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0.625</v>
      </c>
    </row>
    <row r="14" spans="1:11" ht="15" customHeight="1" x14ac:dyDescent="0.25">
      <c r="A14" s="159" t="s">
        <v>155</v>
      </c>
      <c r="B14" s="159" t="str">
        <f>+VLOOKUP(A14,'Estado SCI'!$A$16:$C$59,3,0)</f>
        <v>EVALUACION DEL RIESGO</v>
      </c>
      <c r="C14" s="159" t="s">
        <v>62</v>
      </c>
      <c r="D14" s="159" t="s">
        <v>34</v>
      </c>
      <c r="E14" s="159" t="s">
        <v>156</v>
      </c>
      <c r="F14" s="159" t="str">
        <f>+VLOOKUP(A14,'Estado SCI'!$A$16:$I$59,9,0)</f>
        <v>Deficiencia de control</v>
      </c>
      <c r="G14" s="159">
        <f>+VLOOKUP(A14,'Estado SCI'!$A$16:$L$59,12,0)</f>
        <v>20.23</v>
      </c>
      <c r="H14" s="159">
        <f t="shared" si="0"/>
        <v>13</v>
      </c>
      <c r="I14" s="159" t="str">
        <f>+IF(VLOOKUP(A14,'Estado SCI'!$A$16:$G$59,7,0)="","",VLOOKUP(A14,'Estado SCI'!$A$16:$G$59,7,0))</f>
        <v>No</v>
      </c>
      <c r="J14" s="160">
        <f t="shared" si="2"/>
        <v>0</v>
      </c>
      <c r="K14" s="161">
        <f t="shared" si="1"/>
        <v>0.1</v>
      </c>
    </row>
    <row r="15" spans="1:11" ht="15" customHeight="1" x14ac:dyDescent="0.25">
      <c r="A15" s="159" t="s">
        <v>157</v>
      </c>
      <c r="B15" s="159" t="s">
        <v>61</v>
      </c>
      <c r="C15" s="159" t="s">
        <v>62</v>
      </c>
      <c r="D15" s="159" t="s">
        <v>37</v>
      </c>
      <c r="E15" s="159" t="s">
        <v>158</v>
      </c>
      <c r="F15" s="159" t="str">
        <f>+VLOOKUP(A15,'Estado SCI'!$A$16:$I$59,9,0)</f>
        <v>Deficiencia de control</v>
      </c>
      <c r="G15" s="159">
        <f>+VLOOKUP(A15,'Estado SCI'!$A$16:$L$59,12,0)</f>
        <v>20.234000000000002</v>
      </c>
      <c r="H15" s="159">
        <f t="shared" si="0"/>
        <v>14</v>
      </c>
      <c r="I15" s="159" t="str">
        <f>+IF(VLOOKUP(A15,'Estado SCI'!$A$16:$G$59,7,0)="","",VLOOKUP(A15,'Estado SCI'!$A$16:$G$59,7,0))</f>
        <v>No</v>
      </c>
      <c r="J15" s="160">
        <f t="shared" si="2"/>
        <v>0</v>
      </c>
      <c r="K15" s="161">
        <f t="shared" si="1"/>
        <v>0.1</v>
      </c>
    </row>
    <row r="16" spans="1:11" ht="15" customHeight="1" x14ac:dyDescent="0.25">
      <c r="A16" s="159" t="s">
        <v>159</v>
      </c>
      <c r="B16" s="159" t="s">
        <v>61</v>
      </c>
      <c r="C16" s="159" t="s">
        <v>62</v>
      </c>
      <c r="D16" s="159" t="s">
        <v>40</v>
      </c>
      <c r="E16" s="159" t="s">
        <v>160</v>
      </c>
      <c r="F16" s="159" t="str">
        <f>+VLOOKUP(A16,'Estado SCI'!$A$16:$I$59,9,0)</f>
        <v>Deficiencia de control</v>
      </c>
      <c r="G16" s="159">
        <f>+VLOOKUP(A16,'Estado SCI'!$A$16:$L$59,12,0)</f>
        <v>20.234500000000001</v>
      </c>
      <c r="H16" s="159">
        <f t="shared" si="0"/>
        <v>15</v>
      </c>
      <c r="I16" s="159" t="str">
        <f>+IF(VLOOKUP(A16,'Estado SCI'!$A$16:$G$59,7,0)="","",VLOOKUP(A16,'Estado SCI'!$A$16:$G$59,7,0))</f>
        <v>No</v>
      </c>
      <c r="J16" s="160">
        <f t="shared" si="2"/>
        <v>0</v>
      </c>
      <c r="K16" s="161">
        <f t="shared" si="1"/>
        <v>0.1</v>
      </c>
    </row>
    <row r="17" spans="1:11" ht="15.75" customHeight="1" x14ac:dyDescent="0.25">
      <c r="A17" s="159" t="s">
        <v>161</v>
      </c>
      <c r="B17" s="159" t="s">
        <v>61</v>
      </c>
      <c r="C17" s="159" t="s">
        <v>62</v>
      </c>
      <c r="D17" s="159" t="s">
        <v>42</v>
      </c>
      <c r="E17" s="159" t="s">
        <v>66</v>
      </c>
      <c r="F17" s="159" t="str">
        <f>+VLOOKUP(A17,'Estado SCI'!$A$16:$I$59,9,0)</f>
        <v>Deficiencia de control</v>
      </c>
      <c r="G17" s="159">
        <f>+VLOOKUP(A17,'Estado SCI'!$A$16:$L$59,12,0)</f>
        <v>20.234559999999998</v>
      </c>
      <c r="H17" s="159">
        <f t="shared" si="0"/>
        <v>16</v>
      </c>
      <c r="I17" s="159" t="str">
        <f>+IF(VLOOKUP(A17,'Estado SCI'!$A$16:$G$59,7,0)="","",VLOOKUP(A17,'Estado SCI'!$A$16:$G$59,7,0))</f>
        <v>No</v>
      </c>
      <c r="J17" s="160">
        <f t="shared" si="2"/>
        <v>0</v>
      </c>
      <c r="K17" s="161">
        <f t="shared" si="1"/>
        <v>0.1</v>
      </c>
    </row>
    <row r="18" spans="1:11" ht="15" customHeight="1" x14ac:dyDescent="0.25">
      <c r="A18" s="159" t="s">
        <v>162</v>
      </c>
      <c r="B18" s="159" t="s">
        <v>61</v>
      </c>
      <c r="C18" s="159" t="s">
        <v>80</v>
      </c>
      <c r="D18" s="159" t="s">
        <v>34</v>
      </c>
      <c r="E18" s="159" t="s">
        <v>69</v>
      </c>
      <c r="F18" s="159" t="str">
        <f>+VLOOKUP(A18,'Estado SCI'!$A$16:$I$59,9,0)</f>
        <v>Deficiencia de control</v>
      </c>
      <c r="G18" s="159">
        <f>+VLOOKUP(A18,'Estado SCI'!$A$16:$L$59,12,0)</f>
        <v>20.234566999999998</v>
      </c>
      <c r="H18" s="159">
        <f t="shared" si="0"/>
        <v>17</v>
      </c>
      <c r="I18" s="159" t="str">
        <f>+IF(VLOOKUP(A18,'Estado SCI'!$A$16:$G$59,7,0)="","",VLOOKUP(A18,'Estado SCI'!$A$16:$G$59,7,0))</f>
        <v>No</v>
      </c>
      <c r="J18" s="160">
        <f t="shared" si="2"/>
        <v>0</v>
      </c>
      <c r="K18" s="161">
        <f t="shared" si="1"/>
        <v>0.1</v>
      </c>
    </row>
    <row r="19" spans="1:11" ht="15" customHeight="1" x14ac:dyDescent="0.25">
      <c r="A19" s="159" t="s">
        <v>163</v>
      </c>
      <c r="B19" s="159" t="s">
        <v>61</v>
      </c>
      <c r="C19" s="159" t="s">
        <v>80</v>
      </c>
      <c r="D19" s="159" t="s">
        <v>37</v>
      </c>
      <c r="E19" s="159" t="s">
        <v>70</v>
      </c>
      <c r="F19" s="159" t="str">
        <f>+VLOOKUP(A19,'Estado SCI'!$A$16:$I$59,9,0)</f>
        <v>Deficiencia de control</v>
      </c>
      <c r="G19" s="159">
        <f>+VLOOKUP(A19,'Estado SCI'!$A$16:$L$59,12,0)</f>
        <v>20.234567800000001</v>
      </c>
      <c r="H19" s="159">
        <f t="shared" si="0"/>
        <v>18</v>
      </c>
      <c r="I19" s="159" t="str">
        <f>+IF(VLOOKUP(A19,'Estado SCI'!$A$16:$G$59,7,0)="","",VLOOKUP(A19,'Estado SCI'!$A$16:$G$59,7,0))</f>
        <v>No</v>
      </c>
      <c r="J19" s="160">
        <f t="shared" si="2"/>
        <v>0</v>
      </c>
      <c r="K19" s="161">
        <f t="shared" si="1"/>
        <v>0.1</v>
      </c>
    </row>
    <row r="20" spans="1:11" ht="15" customHeight="1" x14ac:dyDescent="0.25">
      <c r="A20" s="159" t="s">
        <v>164</v>
      </c>
      <c r="B20" s="159" t="s">
        <v>61</v>
      </c>
      <c r="C20" s="159" t="s">
        <v>80</v>
      </c>
      <c r="D20" s="159" t="s">
        <v>40</v>
      </c>
      <c r="E20" s="159" t="s">
        <v>71</v>
      </c>
      <c r="F20" s="159" t="str">
        <f>+VLOOKUP(A20,'Estado SCI'!$A$16:$I$59,9,0)</f>
        <v>Deficiencia de control</v>
      </c>
      <c r="G20" s="159">
        <f>+VLOOKUP(A20,'Estado SCI'!$A$16:$L$59,12,0)</f>
        <v>20.234567890000001</v>
      </c>
      <c r="H20" s="159">
        <f t="shared" si="0"/>
        <v>19</v>
      </c>
      <c r="I20" s="159" t="str">
        <f>+IF(VLOOKUP(A20,'Estado SCI'!$A$16:$G$59,7,0)="","",VLOOKUP(A20,'Estado SCI'!$A$16:$G$59,7,0))</f>
        <v>No</v>
      </c>
      <c r="J20" s="160">
        <f t="shared" si="2"/>
        <v>0</v>
      </c>
      <c r="K20" s="161">
        <f t="shared" si="1"/>
        <v>0.1</v>
      </c>
    </row>
    <row r="21" spans="1:11" ht="15.75" customHeight="1" x14ac:dyDescent="0.25">
      <c r="A21" s="159" t="s">
        <v>165</v>
      </c>
      <c r="B21" s="159" t="s">
        <v>61</v>
      </c>
      <c r="C21" s="159" t="s">
        <v>80</v>
      </c>
      <c r="D21" s="159" t="s">
        <v>34</v>
      </c>
      <c r="E21" s="159" t="s">
        <v>74</v>
      </c>
      <c r="F21" s="159" t="str">
        <f>+VLOOKUP(A21,'Estado SCI'!$A$16:$I$59,9,0)</f>
        <v>Deficiencia de control</v>
      </c>
      <c r="G21" s="159">
        <f>+VLOOKUP(A21,'Estado SCI'!$A$16:$L$59,12,0)</f>
        <v>20.234567891200001</v>
      </c>
      <c r="H21" s="159">
        <f t="shared" si="0"/>
        <v>20</v>
      </c>
      <c r="I21" s="159" t="str">
        <f>+IF(VLOOKUP(A21,'Estado SCI'!$A$16:$G$59,7,0)="","",VLOOKUP(A21,'Estado SCI'!$A$16:$G$59,7,0))</f>
        <v>No</v>
      </c>
      <c r="J21" s="160">
        <f t="shared" si="2"/>
        <v>0</v>
      </c>
      <c r="K21" s="161">
        <f t="shared" si="1"/>
        <v>0.1</v>
      </c>
    </row>
    <row r="22" spans="1:11" ht="15" customHeight="1" x14ac:dyDescent="0.25">
      <c r="A22" s="159" t="s">
        <v>166</v>
      </c>
      <c r="B22" s="159" t="s">
        <v>61</v>
      </c>
      <c r="C22" s="159" t="s">
        <v>88</v>
      </c>
      <c r="D22" s="159" t="s">
        <v>37</v>
      </c>
      <c r="E22" s="159" t="s">
        <v>75</v>
      </c>
      <c r="F22" s="159" t="str">
        <f>+VLOOKUP(A22,'Estado SCI'!$A$16:$I$59,9,0)</f>
        <v>Oportunidad de mejora</v>
      </c>
      <c r="G22" s="159">
        <f>+VLOOKUP(A22,'Estado SCI'!$A$16:$L$59,12,0)</f>
        <v>30.23456789123</v>
      </c>
      <c r="H22" s="159">
        <f t="shared" si="0"/>
        <v>21</v>
      </c>
      <c r="I22" s="159" t="str">
        <f>+IF(VLOOKUP(A22,'Estado SCI'!$A$16:$G$59,7,0)="","",VLOOKUP(A22,'Estado SCI'!$A$16:$G$59,7,0))</f>
        <v>En proceso</v>
      </c>
      <c r="J22" s="160">
        <f t="shared" si="2"/>
        <v>0.5</v>
      </c>
      <c r="K22" s="161">
        <f t="shared" si="1"/>
        <v>0.1</v>
      </c>
    </row>
    <row r="23" spans="1:11" ht="15" customHeight="1" x14ac:dyDescent="0.25">
      <c r="A23" s="159" t="s">
        <v>167</v>
      </c>
      <c r="B23" s="159" t="s">
        <v>61</v>
      </c>
      <c r="C23" s="159" t="s">
        <v>88</v>
      </c>
      <c r="D23" s="159" t="s">
        <v>40</v>
      </c>
      <c r="E23" s="159" t="s">
        <v>77</v>
      </c>
      <c r="F23" s="159" t="str">
        <f>+VLOOKUP(A23,'Estado SCI'!$A$16:$I$59,9,0)</f>
        <v>Oportunidad de mejora</v>
      </c>
      <c r="G23" s="159">
        <f>+VLOOKUP(A23,'Estado SCI'!$A$16:$L$59,12,0)</f>
        <v>30.234567891234001</v>
      </c>
      <c r="H23" s="159">
        <f t="shared" si="0"/>
        <v>22</v>
      </c>
      <c r="I23" s="159" t="str">
        <f>+IF(VLOOKUP(A23,'Estado SCI'!$A$16:$G$59,7,0)="","",VLOOKUP(A23,'Estado SCI'!$A$16:$G$59,7,0))</f>
        <v>En proceso</v>
      </c>
      <c r="J23" s="160">
        <f t="shared" si="2"/>
        <v>0.5</v>
      </c>
      <c r="K23" s="161">
        <f t="shared" si="1"/>
        <v>0.1</v>
      </c>
    </row>
    <row r="24" spans="1:11" ht="15" customHeight="1" x14ac:dyDescent="0.25">
      <c r="A24" s="159" t="s">
        <v>168</v>
      </c>
      <c r="B24" s="159" t="str">
        <f>+VLOOKUP(A24,'Estado SCI'!$A$16:$C$59,3,0)</f>
        <v>ACTIVIDADES DE CONTROL</v>
      </c>
      <c r="C24" s="159" t="s">
        <v>88</v>
      </c>
      <c r="D24" s="159" t="s">
        <v>34</v>
      </c>
      <c r="E24" s="159" t="s">
        <v>81</v>
      </c>
      <c r="F24" s="159" t="str">
        <f>+VLOOKUP(A24,'Estado SCI'!$A$16:$I$59,9,0)</f>
        <v>Oportunidad de mejora</v>
      </c>
      <c r="G24" s="159">
        <f>+VLOOKUP(A24,'Estado SCI'!$A$16:$L$59,12,0)</f>
        <v>50.31</v>
      </c>
      <c r="H24" s="159">
        <f t="shared" si="0"/>
        <v>24</v>
      </c>
      <c r="I24" s="159" t="str">
        <f>+IF(VLOOKUP(A24,'Estado SCI'!$A$16:$G$59,7,0)="","",VLOOKUP(A24,'Estado SCI'!$A$16:$G$59,7,0))</f>
        <v>En proceso</v>
      </c>
      <c r="J24" s="160">
        <f t="shared" si="2"/>
        <v>0.5</v>
      </c>
      <c r="K24" s="161">
        <f t="shared" si="1"/>
        <v>0.6</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25</v>
      </c>
      <c r="I25" s="159" t="str">
        <f>+IF(VLOOKUP(A25,'Estado SCI'!$A$16:$G$59,7,0)="","",VLOOKUP(A25,'Estado SCI'!$A$16:$G$59,7,0))</f>
        <v>En proceso</v>
      </c>
      <c r="J25" s="160">
        <f t="shared" si="2"/>
        <v>0.5</v>
      </c>
      <c r="K25" s="161">
        <f t="shared" si="1"/>
        <v>0.6</v>
      </c>
    </row>
    <row r="26" spans="1:11" ht="15" customHeight="1" x14ac:dyDescent="0.25">
      <c r="A26" s="159" t="s">
        <v>170</v>
      </c>
      <c r="B26" s="159" t="s">
        <v>79</v>
      </c>
      <c r="C26" s="159" t="s">
        <v>88</v>
      </c>
      <c r="D26" s="159" t="s">
        <v>40</v>
      </c>
      <c r="E26" s="159" t="s">
        <v>83</v>
      </c>
      <c r="F26" s="159" t="str">
        <f>+VLOOKUP(A26,'Estado SCI'!$A$16:$I$59,9,0)</f>
        <v>Deficiencia de control</v>
      </c>
      <c r="G26" s="159">
        <f>+VLOOKUP(A26,'Estado SCI'!$A$16:$L$59,12,0)</f>
        <v>40.323999999999998</v>
      </c>
      <c r="H26" s="159">
        <f t="shared" si="0"/>
        <v>23</v>
      </c>
      <c r="I26" s="159" t="str">
        <f>+IF(VLOOKUP(A26,'Estado SCI'!$A$16:$G$59,7,0)="","",VLOOKUP(A26,'Estado SCI'!$A$16:$G$59,7,0))</f>
        <v>No</v>
      </c>
      <c r="J26" s="160">
        <f t="shared" si="2"/>
        <v>0</v>
      </c>
      <c r="K26" s="161">
        <f t="shared" si="1"/>
        <v>0.6</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0.6</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0.6</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33</v>
      </c>
      <c r="I29" s="159" t="str">
        <f>+IF(VLOOKUP(A29,'Estado SCI'!$A$16:$G$59,7,0)="","",VLOOKUP(A29,'Estado SCI'!$A$16:$G$59,7,0))</f>
        <v>Si</v>
      </c>
      <c r="J29" s="160">
        <f t="shared" si="2"/>
        <v>1</v>
      </c>
      <c r="K29" s="161">
        <f t="shared" si="1"/>
        <v>0.35714285714285715</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34</v>
      </c>
      <c r="I30" s="159" t="str">
        <f>+IF(VLOOKUP(A30,'Estado SCI'!$A$16:$G$59,7,0)="","",VLOOKUP(A30,'Estado SCI'!$A$16:$G$59,7,0))</f>
        <v>Si</v>
      </c>
      <c r="J30" s="160">
        <f t="shared" si="2"/>
        <v>1</v>
      </c>
      <c r="K30" s="161">
        <f t="shared" si="1"/>
        <v>0.35714285714285715</v>
      </c>
    </row>
    <row r="31" spans="1:11" ht="15.75" customHeight="1" x14ac:dyDescent="0.25">
      <c r="A31" s="159" t="s">
        <v>175</v>
      </c>
      <c r="B31" s="159" t="s">
        <v>87</v>
      </c>
      <c r="C31" s="159" t="s">
        <v>98</v>
      </c>
      <c r="D31" s="159" t="s">
        <v>40</v>
      </c>
      <c r="E31" s="159" t="s">
        <v>91</v>
      </c>
      <c r="F31" s="159" t="str">
        <f>+VLOOKUP(A31,'Estado SCI'!$A$16:$I$59,9,0)</f>
        <v>Oportunidad de mejora</v>
      </c>
      <c r="G31" s="159">
        <f>+VLOOKUP(A31,'Estado SCI'!$A$16:$L$59,12,0)</f>
        <v>70.41234</v>
      </c>
      <c r="H31" s="159">
        <f t="shared" si="0"/>
        <v>32</v>
      </c>
      <c r="I31" s="159" t="str">
        <f>+IF(VLOOKUP(A31,'Estado SCI'!$A$16:$G$59,7,0)="","",VLOOKUP(A31,'Estado SCI'!$A$16:$G$59,7,0))</f>
        <v>En proceso</v>
      </c>
      <c r="J31" s="160">
        <f t="shared" si="2"/>
        <v>0.5</v>
      </c>
      <c r="K31" s="161">
        <f t="shared" si="1"/>
        <v>0.35714285714285715</v>
      </c>
    </row>
    <row r="32" spans="1:11" x14ac:dyDescent="0.25">
      <c r="A32" s="159" t="s">
        <v>176</v>
      </c>
      <c r="B32" s="159" t="s">
        <v>87</v>
      </c>
      <c r="C32" s="159" t="s">
        <v>104</v>
      </c>
      <c r="D32" s="159" t="s">
        <v>42</v>
      </c>
      <c r="E32" s="159" t="s">
        <v>92</v>
      </c>
      <c r="F32" s="159" t="str">
        <f>+VLOOKUP(A32,'Estado SCI'!$A$16:$I$59,9,0)</f>
        <v>Deficiencia de control</v>
      </c>
      <c r="G32" s="159">
        <f>+VLOOKUP(A32,'Estado SCI'!$A$16:$L$59,12,0)</f>
        <v>60.412345000000002</v>
      </c>
      <c r="H32" s="159">
        <f t="shared" si="0"/>
        <v>28</v>
      </c>
      <c r="I32" s="159" t="str">
        <f>+IF(VLOOKUP(A32,'Estado SCI'!$A$16:$G$59,7,0)="","",VLOOKUP(A32,'Estado SCI'!$A$16:$G$59,7,0))</f>
        <v>No</v>
      </c>
      <c r="J32" s="160">
        <f t="shared" si="2"/>
        <v>0</v>
      </c>
      <c r="K32" s="161">
        <f t="shared" si="1"/>
        <v>0.35714285714285715</v>
      </c>
    </row>
    <row r="33" spans="1:11" x14ac:dyDescent="0.25">
      <c r="A33" s="159" t="s">
        <v>177</v>
      </c>
      <c r="B33" s="159" t="s">
        <v>87</v>
      </c>
      <c r="C33" s="159" t="s">
        <v>178</v>
      </c>
      <c r="D33" s="159" t="s">
        <v>44</v>
      </c>
      <c r="E33" s="159" t="s">
        <v>93</v>
      </c>
      <c r="F33" s="159" t="str">
        <f>+VLOOKUP(A33,'Estado SCI'!$A$16:$I$59,9,0)</f>
        <v>Deficiencia de control</v>
      </c>
      <c r="G33" s="159">
        <f>+VLOOKUP(A33,'Estado SCI'!$A$16:$L$59,12,0)</f>
        <v>60.412345600000002</v>
      </c>
      <c r="H33" s="159">
        <f t="shared" si="0"/>
        <v>29</v>
      </c>
      <c r="I33" s="159" t="str">
        <f>+IF(VLOOKUP(A33,'Estado SCI'!$A$16:$G$59,7,0)="","",VLOOKUP(A33,'Estado SCI'!$A$16:$G$59,7,0))</f>
        <v>No</v>
      </c>
      <c r="J33" s="160">
        <f t="shared" si="2"/>
        <v>0</v>
      </c>
      <c r="K33" s="161">
        <f t="shared" si="1"/>
        <v>0.35714285714285715</v>
      </c>
    </row>
    <row r="34" spans="1:11" x14ac:dyDescent="0.25">
      <c r="A34" s="159" t="s">
        <v>179</v>
      </c>
      <c r="B34" s="159" t="s">
        <v>87</v>
      </c>
      <c r="C34" s="159" t="s">
        <v>178</v>
      </c>
      <c r="D34" s="159" t="s">
        <v>46</v>
      </c>
      <c r="E34" s="159" t="s">
        <v>94</v>
      </c>
      <c r="F34" s="159" t="str">
        <f>+VLOOKUP(A34,'Estado SCI'!$A$16:$I$59,9,0)</f>
        <v>Deficiencia de control</v>
      </c>
      <c r="G34" s="159">
        <f>+VLOOKUP(A34,'Estado SCI'!$A$16:$L$59,12,0)</f>
        <v>60.412345670000001</v>
      </c>
      <c r="H34" s="159">
        <f t="shared" si="0"/>
        <v>30</v>
      </c>
      <c r="I34" s="159" t="str">
        <f>+IF(VLOOKUP(A34,'Estado SCI'!$A$16:$G$59,7,0)="","",VLOOKUP(A34,'Estado SCI'!$A$16:$G$59,7,0))</f>
        <v>No</v>
      </c>
      <c r="J34" s="160">
        <f t="shared" si="2"/>
        <v>0</v>
      </c>
      <c r="K34" s="161">
        <f t="shared" si="1"/>
        <v>0.35714285714285715</v>
      </c>
    </row>
    <row r="35" spans="1:11" x14ac:dyDescent="0.25">
      <c r="A35" s="159" t="s">
        <v>180</v>
      </c>
      <c r="B35" s="159" t="s">
        <v>87</v>
      </c>
      <c r="C35" s="159" t="s">
        <v>178</v>
      </c>
      <c r="D35" s="159" t="s">
        <v>48</v>
      </c>
      <c r="E35" s="159" t="s">
        <v>95</v>
      </c>
      <c r="F35" s="159" t="str">
        <f>+VLOOKUP(A35,'Estado SCI'!$A$16:$I$59,9,0)</f>
        <v>Deficiencia de control</v>
      </c>
      <c r="G35" s="159">
        <f>+VLOOKUP(A35,'Estado SCI'!$A$16:$L$59,12,0)</f>
        <v>60.412345678000001</v>
      </c>
      <c r="H35" s="159">
        <f t="shared" si="0"/>
        <v>31</v>
      </c>
      <c r="I35" s="159" t="str">
        <f>+IF(VLOOKUP(A35,'Estado SCI'!$A$16:$G$59,7,0)="","",VLOOKUP(A35,'Estado SCI'!$A$16:$G$59,7,0))</f>
        <v>No</v>
      </c>
      <c r="J35" s="160">
        <f t="shared" si="2"/>
        <v>0</v>
      </c>
      <c r="K35" s="161">
        <f t="shared" si="1"/>
        <v>0.35714285714285715</v>
      </c>
    </row>
    <row r="36" spans="1:11" x14ac:dyDescent="0.25">
      <c r="A36" s="159" t="s">
        <v>181</v>
      </c>
      <c r="B36" s="159" t="str">
        <f>+VLOOKUP(A36,'Estado SCI'!$A$16:$C$59,3,0)</f>
        <v>ACTIVIDADES DE MONITOREO</v>
      </c>
      <c r="C36" s="159" t="s">
        <v>178</v>
      </c>
      <c r="D36" s="159" t="s">
        <v>34</v>
      </c>
      <c r="E36" s="159" t="s">
        <v>99</v>
      </c>
      <c r="F36" s="159" t="str">
        <f>+VLOOKUP(A36,'Estado SCI'!$A$16:$I$59,9,0)</f>
        <v>Deficiencia de control</v>
      </c>
      <c r="G36" s="159">
        <f>+VLOOKUP(A36,'Estado SCI'!$A$16:$L$59,12,0)</f>
        <v>80.850999999999999</v>
      </c>
      <c r="H36" s="159">
        <f t="shared" si="0"/>
        <v>35</v>
      </c>
      <c r="I36" s="159" t="str">
        <f>+IF(VLOOKUP(A36,'Estado SCI'!$A$16:$G$59,7,0)="","",VLOOKUP(A36,'Estado SCI'!$A$16:$G$59,7,0))</f>
        <v>No</v>
      </c>
      <c r="J36" s="160">
        <f t="shared" si="2"/>
        <v>0</v>
      </c>
      <c r="K36" s="161">
        <f t="shared" si="1"/>
        <v>0.4</v>
      </c>
    </row>
    <row r="37" spans="1:11" x14ac:dyDescent="0.25">
      <c r="A37" s="159" t="s">
        <v>182</v>
      </c>
      <c r="B37" s="159" t="s">
        <v>97</v>
      </c>
      <c r="C37" s="159" t="s">
        <v>178</v>
      </c>
      <c r="D37" s="159" t="s">
        <v>42</v>
      </c>
      <c r="E37" s="159" t="s">
        <v>100</v>
      </c>
      <c r="F37" s="159" t="str">
        <f>+VLOOKUP(A37,'Estado SCI'!$A$16:$I$59,9,0)</f>
        <v>Oportunidad de mejora</v>
      </c>
      <c r="G37" s="159">
        <f>+VLOOKUP(A37,'Estado SCI'!$A$16:$L$59,12,0)</f>
        <v>100.85120000000001</v>
      </c>
      <c r="H37" s="159">
        <f t="shared" si="0"/>
        <v>38</v>
      </c>
      <c r="I37" s="159" t="str">
        <f>+IF(VLOOKUP(A37,'Estado SCI'!$A$16:$G$59,7,0)="","",VLOOKUP(A37,'Estado SCI'!$A$16:$G$59,7,0))</f>
        <v>En proceso</v>
      </c>
      <c r="J37" s="160">
        <f t="shared" si="2"/>
        <v>0.5</v>
      </c>
      <c r="K37" s="161">
        <f t="shared" si="1"/>
        <v>0.4</v>
      </c>
    </row>
    <row r="38" spans="1:11" x14ac:dyDescent="0.25">
      <c r="A38" s="159" t="s">
        <v>183</v>
      </c>
      <c r="B38" s="159" t="s">
        <v>97</v>
      </c>
      <c r="C38" s="159" t="s">
        <v>68</v>
      </c>
      <c r="D38" s="159" t="s">
        <v>46</v>
      </c>
      <c r="E38" s="159" t="s">
        <v>101</v>
      </c>
      <c r="F38" s="159" t="str">
        <f>+VLOOKUP(A38,'Estado SCI'!$A$16:$I$59,9,0)</f>
        <v>Deficiencia de control</v>
      </c>
      <c r="G38" s="159">
        <f>+VLOOKUP(A38,'Estado SCI'!$A$16:$L$59,12,0)</f>
        <v>80.851230000000001</v>
      </c>
      <c r="H38" s="159">
        <f t="shared" si="0"/>
        <v>36</v>
      </c>
      <c r="I38" s="159" t="str">
        <f>+IF(VLOOKUP(A38,'Estado SCI'!$A$16:$G$59,7,0)="","",VLOOKUP(A38,'Estado SCI'!$A$16:$G$59,7,0))</f>
        <v>No</v>
      </c>
      <c r="J38" s="160">
        <f t="shared" si="2"/>
        <v>0</v>
      </c>
      <c r="K38" s="161">
        <f t="shared" si="1"/>
        <v>0.4</v>
      </c>
    </row>
    <row r="39" spans="1:11" x14ac:dyDescent="0.25">
      <c r="A39" s="159" t="s">
        <v>184</v>
      </c>
      <c r="B39" s="159" t="s">
        <v>97</v>
      </c>
      <c r="C39" s="159" t="s">
        <v>68</v>
      </c>
      <c r="D39" s="159" t="s">
        <v>48</v>
      </c>
      <c r="E39" s="159" t="s">
        <v>102</v>
      </c>
      <c r="F39" s="159" t="str">
        <f>+VLOOKUP(A39,'Estado SCI'!$A$16:$I$59,9,0)</f>
        <v>Deficiencia de control</v>
      </c>
      <c r="G39" s="159">
        <f>+VLOOKUP(A39,'Estado SCI'!$A$16:$L$59,12,0)</f>
        <v>80.851234000000005</v>
      </c>
      <c r="H39" s="159">
        <f t="shared" si="0"/>
        <v>37</v>
      </c>
      <c r="I39" s="159" t="str">
        <f>+IF(VLOOKUP(A39,'Estado SCI'!$A$16:$G$59,7,0)="","",VLOOKUP(A39,'Estado SCI'!$A$16:$G$59,7,0))</f>
        <v>No</v>
      </c>
      <c r="J39" s="160">
        <f t="shared" si="2"/>
        <v>0</v>
      </c>
      <c r="K39" s="161">
        <f t="shared" si="1"/>
        <v>0.4</v>
      </c>
    </row>
    <row r="40" spans="1:11" x14ac:dyDescent="0.25">
      <c r="A40" s="159" t="s">
        <v>185</v>
      </c>
      <c r="B40" s="159" t="s">
        <v>97</v>
      </c>
      <c r="C40" s="159" t="s">
        <v>68</v>
      </c>
      <c r="D40" s="159" t="s">
        <v>50</v>
      </c>
      <c r="E40" s="159" t="s">
        <v>105</v>
      </c>
      <c r="F40" s="159" t="str">
        <f>+VLOOKUP(A40,'Estado SCI'!$A$16:$I$59,9,0)</f>
        <v>Mantenimiento del control</v>
      </c>
      <c r="G40" s="159">
        <f>+VLOOKUP(A40,'Estado SCI'!$A$16:$L$59,12,0)</f>
        <v>120.8512345</v>
      </c>
      <c r="H40" s="159">
        <f t="shared" si="0"/>
        <v>44</v>
      </c>
      <c r="I40" s="159" t="str">
        <f>+IF(VLOOKUP(A40,'Estado SCI'!$A$16:$G$59,7,0)="","",VLOOKUP(A40,'Estado SCI'!$A$16:$G$59,7,0))</f>
        <v>Si</v>
      </c>
      <c r="J40" s="160">
        <f t="shared" si="2"/>
        <v>1</v>
      </c>
      <c r="K40" s="161">
        <f t="shared" si="1"/>
        <v>0.4</v>
      </c>
    </row>
    <row r="41" spans="1:11" x14ac:dyDescent="0.25">
      <c r="A41" s="159" t="s">
        <v>186</v>
      </c>
      <c r="B41" s="159" t="s">
        <v>97</v>
      </c>
      <c r="C41" s="159" t="s">
        <v>68</v>
      </c>
      <c r="D41" s="159" t="s">
        <v>34</v>
      </c>
      <c r="E41" s="159" t="s">
        <v>108</v>
      </c>
      <c r="F41" s="159" t="str">
        <f>+VLOOKUP(A41,'Estado SCI'!$A$16:$I$59,9,0)</f>
        <v>Oportunidad de mejora</v>
      </c>
      <c r="G41" s="159">
        <f>+VLOOKUP(A41,'Estado SCI'!$A$16:$L$59,12,0)</f>
        <v>100.85123455999999</v>
      </c>
      <c r="H41" s="159">
        <f t="shared" si="0"/>
        <v>39</v>
      </c>
      <c r="I41" s="159" t="str">
        <f>+IF(VLOOKUP(A41,'Estado SCI'!$A$16:$G$59,7,0)="","",VLOOKUP(A41,'Estado SCI'!$A$16:$G$59,7,0))</f>
        <v>En proceso</v>
      </c>
      <c r="J41" s="160">
        <f t="shared" si="2"/>
        <v>0.5</v>
      </c>
      <c r="K41" s="161">
        <f t="shared" si="1"/>
        <v>0.4</v>
      </c>
    </row>
    <row r="42" spans="1:11" x14ac:dyDescent="0.25">
      <c r="A42" s="159" t="s">
        <v>187</v>
      </c>
      <c r="B42" s="159" t="s">
        <v>97</v>
      </c>
      <c r="C42" s="159" t="s">
        <v>73</v>
      </c>
      <c r="D42" s="159" t="s">
        <v>37</v>
      </c>
      <c r="E42" s="159" t="s">
        <v>109</v>
      </c>
      <c r="F42" s="159" t="str">
        <f>+VLOOKUP(A42,'Estado SCI'!$A$16:$I$59,9,0)</f>
        <v>Oportunidad de mejora</v>
      </c>
      <c r="G42" s="159">
        <f>+VLOOKUP(A42,'Estado SCI'!$A$16:$L$59,12,0)</f>
        <v>100.85123456700001</v>
      </c>
      <c r="H42" s="159">
        <f t="shared" si="0"/>
        <v>40</v>
      </c>
      <c r="I42" s="159" t="str">
        <f>+IF(VLOOKUP(A42,'Estado SCI'!$A$16:$G$59,7,0)="","",VLOOKUP(A42,'Estado SCI'!$A$16:$G$59,7,0))</f>
        <v>En proceso</v>
      </c>
      <c r="J42" s="160">
        <f t="shared" si="2"/>
        <v>0.5</v>
      </c>
      <c r="K42" s="161">
        <f t="shared" si="1"/>
        <v>0.4</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41</v>
      </c>
      <c r="I43" s="159" t="str">
        <f>+IF(VLOOKUP(A43,'Estado SCI'!$A$16:$G$59,7,0)="","",VLOOKUP(A43,'Estado SCI'!$A$16:$G$59,7,0))</f>
        <v>En proceso</v>
      </c>
      <c r="J43" s="160">
        <f t="shared" si="2"/>
        <v>0.5</v>
      </c>
      <c r="K43" s="161">
        <f t="shared" si="1"/>
        <v>0.4</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42</v>
      </c>
      <c r="I44" s="159" t="str">
        <f>+IF(VLOOKUP(A44,'Estado SCI'!$A$16:$G$59,7,0)="","",VLOOKUP(A44,'Estado SCI'!$A$16:$G$59,7,0))</f>
        <v>En proceso</v>
      </c>
      <c r="J44" s="160">
        <f t="shared" si="2"/>
        <v>0.5</v>
      </c>
      <c r="K44" s="161">
        <f t="shared" si="1"/>
        <v>0.4</v>
      </c>
    </row>
    <row r="45" spans="1:11" x14ac:dyDescent="0.25">
      <c r="A45" s="159" t="s">
        <v>190</v>
      </c>
      <c r="B45" s="159" t="s">
        <v>97</v>
      </c>
      <c r="C45" s="159" t="s">
        <v>73</v>
      </c>
      <c r="D45" s="159" t="s">
        <v>44</v>
      </c>
      <c r="E45" s="159" t="s">
        <v>112</v>
      </c>
      <c r="F45" s="159" t="str">
        <f>+VLOOKUP(A45,'Estado SCI'!$A$16:$I$59,9,0)</f>
        <v>Oportunidad de mejora</v>
      </c>
      <c r="G45" s="159">
        <f>+VLOOKUP(A45,'Estado SCI'!$A$16:$L$59,12,0)</f>
        <v>100.851234567891</v>
      </c>
      <c r="H45" s="159">
        <f t="shared" si="0"/>
        <v>43</v>
      </c>
      <c r="I45" s="159" t="str">
        <f>+IF(VLOOKUP(A45,'Estado SCI'!$A$16:$G$59,7,0)="","",VLOOKUP(A45,'Estado SCI'!$A$16:$G$59,7,0))</f>
        <v>En proceso</v>
      </c>
      <c r="J45" s="160">
        <f t="shared" si="2"/>
        <v>0.5</v>
      </c>
      <c r="K45" s="161">
        <f t="shared" si="1"/>
        <v>0.4</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JSJUNCAC</cp:lastModifiedBy>
  <cp:revision/>
  <dcterms:created xsi:type="dcterms:W3CDTF">2020-04-28T13:58:09Z</dcterms:created>
  <dcterms:modified xsi:type="dcterms:W3CDTF">2021-07-30T21:54:53Z</dcterms:modified>
  <cp:category/>
  <cp:contentStatus/>
</cp:coreProperties>
</file>