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rodriguez\Desktop\Back up German Rodriguez\backup c5-grodriguez\INFORMACION GERMAN\"/>
    </mc:Choice>
  </mc:AlternateContent>
  <bookViews>
    <workbookView xWindow="105" yWindow="105" windowWidth="10005" windowHeight="7005" tabRatio="996" firstSheet="13" activeTab="29"/>
  </bookViews>
  <sheets>
    <sheet name="S. GENERAL" sheetId="32" r:id="rId1"/>
    <sheet name="S. JURIDICA" sheetId="31" r:id="rId2"/>
    <sheet name="S. GOBIERNO" sheetId="30" r:id="rId3"/>
    <sheet name="S. EDUCACION" sheetId="29" r:id="rId4"/>
    <sheet name="S. PLANEACION" sheetId="28" r:id="rId5"/>
    <sheet name="S. FUNCION PUBLICA" sheetId="27" r:id="rId6"/>
    <sheet name="S INTEGRACION REGIONAL" sheetId="26" r:id="rId7"/>
    <sheet name="S TICs" sheetId="25" r:id="rId8"/>
    <sheet name="S DLLO SOCIAL" sheetId="24" r:id="rId9"/>
    <sheet name="S COMPETITIVIDAD Y DLLO ECO" sheetId="23" r:id="rId10"/>
    <sheet name="S AMBIENTE" sheetId="22" r:id="rId11"/>
    <sheet name="S MINAS Y ENERGIA" sheetId="21" r:id="rId12"/>
    <sheet name="S TRANSPORTE Y MOVILIDAD" sheetId="20" r:id="rId13"/>
    <sheet name="S AGRICULTURA" sheetId="19" r:id="rId14"/>
    <sheet name="S CT-I" sheetId="18" r:id="rId15"/>
    <sheet name="S COOPERACION" sheetId="17" r:id="rId16"/>
    <sheet name="UAE PREVENCION RIESGO" sheetId="16" r:id="rId17"/>
    <sheet name="UDEC" sheetId="15" r:id="rId18"/>
    <sheet name="UAE VIVIENDA" sheetId="14" r:id="rId19"/>
    <sheet name="S SALUD" sheetId="13" r:id="rId20"/>
    <sheet name="ID ACCION COMUNAL" sheetId="12" r:id="rId21"/>
    <sheet name="S HACIENDA" sheetId="11" r:id="rId22"/>
    <sheet name="BENEFICENCIA" sheetId="10" r:id="rId23"/>
    <sheet name="I DEPORTES" sheetId="9" r:id="rId24"/>
    <sheet name="CORPORACION SOCIAL" sheetId="8" r:id="rId25"/>
    <sheet name="I CULTURA Y TURISMO" sheetId="7" r:id="rId26"/>
    <sheet name="U BOSQUES" sheetId="6" r:id="rId27"/>
    <sheet name="ICCU" sheetId="3" state="hidden" r:id="rId28"/>
    <sheet name="Hoja1" sheetId="36" state="hidden" r:id="rId29"/>
    <sheet name="ICCU2" sheetId="37" r:id="rId30"/>
  </sheets>
  <definedNames>
    <definedName name="_xlnm.Print_Area" localSheetId="0">'S. GENERAL'!$B$2:$M$39</definedName>
    <definedName name="_xlnm.Print_Area" localSheetId="1">'S. JURIDICA'!$B$2:$M$30</definedName>
  </definedNames>
  <calcPr calcId="152511"/>
</workbook>
</file>

<file path=xl/calcChain.xml><?xml version="1.0" encoding="utf-8"?>
<calcChain xmlns="http://schemas.openxmlformats.org/spreadsheetml/2006/main">
  <c r="M27" i="16" l="1"/>
  <c r="L57" i="37" l="1"/>
  <c r="L56" i="37"/>
  <c r="M25" i="16"/>
  <c r="M24" i="22"/>
  <c r="M62" i="19"/>
  <c r="M20" i="20"/>
  <c r="M18" i="20" s="1"/>
  <c r="M22" i="20"/>
  <c r="M221" i="24"/>
  <c r="M166" i="24"/>
  <c r="M12" i="20" l="1"/>
  <c r="M71" i="22"/>
  <c r="M70" i="22"/>
  <c r="L67" i="37"/>
  <c r="L68" i="37"/>
  <c r="L63" i="37"/>
  <c r="L64" i="37"/>
  <c r="L58" i="37"/>
  <c r="M215" i="13"/>
  <c r="M217" i="13"/>
  <c r="M82" i="28"/>
  <c r="M83" i="28"/>
  <c r="M205" i="29"/>
  <c r="M206" i="29"/>
  <c r="M70" i="29"/>
  <c r="M68" i="29"/>
  <c r="M105" i="19"/>
  <c r="M103" i="19"/>
  <c r="M89" i="19"/>
  <c r="M88" i="19"/>
  <c r="M53" i="19"/>
  <c r="M54" i="19"/>
  <c r="M72" i="29"/>
  <c r="M67" i="29"/>
  <c r="M21" i="32"/>
  <c r="M22" i="32"/>
  <c r="M170" i="29" l="1"/>
  <c r="M160" i="29"/>
  <c r="M150" i="29"/>
  <c r="M132" i="29"/>
  <c r="M130" i="29"/>
  <c r="M121" i="29"/>
  <c r="M119" i="29"/>
  <c r="M81" i="29"/>
  <c r="L54" i="37" l="1"/>
  <c r="M310" i="13"/>
  <c r="M151" i="13"/>
  <c r="M251" i="13"/>
  <c r="M279" i="13"/>
  <c r="M255" i="13"/>
  <c r="M283" i="13"/>
  <c r="M139" i="13"/>
  <c r="M196" i="13"/>
  <c r="M50" i="13"/>
  <c r="M25" i="13"/>
  <c r="M17" i="15" l="1"/>
  <c r="M228" i="13"/>
  <c r="M282" i="13"/>
  <c r="M265" i="13"/>
  <c r="M183" i="7"/>
  <c r="M185" i="7"/>
  <c r="M144" i="7"/>
  <c r="M43" i="11"/>
  <c r="M44" i="11"/>
  <c r="M51" i="11"/>
  <c r="M33" i="14"/>
  <c r="M133" i="19"/>
  <c r="M66" i="19"/>
  <c r="L26" i="37"/>
  <c r="L73" i="37"/>
  <c r="L49" i="37"/>
  <c r="L47" i="37"/>
  <c r="M256" i="13"/>
  <c r="M260" i="13"/>
  <c r="M259" i="13" s="1"/>
  <c r="M50" i="11"/>
  <c r="M24" i="11"/>
  <c r="M28" i="11"/>
  <c r="M25" i="11"/>
  <c r="M49" i="19"/>
  <c r="M46" i="19"/>
  <c r="M41" i="19"/>
  <c r="M38" i="19"/>
  <c r="M35" i="19"/>
  <c r="M118" i="19"/>
  <c r="M75" i="19"/>
  <c r="M19" i="19"/>
  <c r="M132" i="19"/>
  <c r="M117" i="19"/>
  <c r="M86" i="19"/>
  <c r="M85" i="19"/>
  <c r="M18" i="19"/>
  <c r="M31" i="14"/>
  <c r="M188" i="29"/>
  <c r="M181" i="29"/>
  <c r="M152" i="29"/>
  <c r="M128" i="29"/>
  <c r="M115" i="29"/>
  <c r="M113" i="29"/>
  <c r="M109" i="29"/>
  <c r="M65" i="29"/>
  <c r="M64" i="29" s="1"/>
  <c r="M57" i="29"/>
  <c r="M53" i="29"/>
  <c r="M34" i="29"/>
  <c r="M17" i="29"/>
  <c r="M293" i="13"/>
  <c r="M274" i="13"/>
  <c r="M270" i="13"/>
  <c r="M264" i="13"/>
  <c r="M247" i="13"/>
  <c r="M203" i="13"/>
  <c r="M189" i="13"/>
  <c r="M131" i="13"/>
  <c r="M107" i="13"/>
  <c r="M92" i="13"/>
  <c r="M81" i="13"/>
  <c r="M38" i="13"/>
  <c r="M207" i="24"/>
  <c r="M185" i="24"/>
  <c r="M113" i="24"/>
  <c r="M109" i="24"/>
  <c r="M97" i="24"/>
  <c r="M73" i="24"/>
  <c r="M69" i="24"/>
  <c r="M59" i="24"/>
  <c r="M53" i="24"/>
  <c r="M47" i="24"/>
  <c r="M36" i="24"/>
  <c r="M31" i="24"/>
  <c r="M27" i="24"/>
  <c r="M119" i="30"/>
  <c r="M69" i="30"/>
  <c r="M51" i="30"/>
  <c r="M40" i="28"/>
  <c r="M19" i="6"/>
  <c r="M169" i="7"/>
  <c r="M167" i="7"/>
  <c r="M160" i="7"/>
  <c r="M19" i="11"/>
  <c r="M22" i="18"/>
  <c r="M60" i="23"/>
  <c r="M55" i="23"/>
  <c r="M51" i="23"/>
  <c r="M42" i="23"/>
  <c r="M37" i="23"/>
  <c r="M26" i="23"/>
  <c r="M77" i="22"/>
  <c r="M32" i="22"/>
  <c r="M28" i="22"/>
  <c r="M33" i="20"/>
  <c r="M30" i="21"/>
  <c r="M22" i="21"/>
  <c r="M39" i="26"/>
  <c r="M35" i="26"/>
  <c r="M31" i="26"/>
  <c r="M22" i="26"/>
  <c r="M15" i="26"/>
  <c r="M40" i="25"/>
  <c r="M35" i="25"/>
  <c r="M31" i="25"/>
  <c r="M19" i="25"/>
  <c r="L66" i="37"/>
  <c r="L62" i="37"/>
  <c r="L61" i="37"/>
  <c r="L22" i="37"/>
  <c r="M115" i="7"/>
  <c r="M50" i="22"/>
  <c r="M138" i="13"/>
  <c r="M172" i="13"/>
  <c r="M170" i="13" s="1"/>
  <c r="M86" i="30"/>
  <c r="L52" i="37"/>
  <c r="L53" i="37"/>
  <c r="M172" i="29"/>
  <c r="M125" i="29"/>
  <c r="M186" i="7"/>
  <c r="M18" i="7"/>
  <c r="M74" i="19"/>
  <c r="L24" i="37"/>
  <c r="M87" i="19"/>
  <c r="M46" i="11" l="1"/>
  <c r="M84" i="19"/>
  <c r="M131" i="19"/>
  <c r="M79" i="19"/>
  <c r="M24" i="16"/>
  <c r="M184" i="7"/>
  <c r="M17" i="19"/>
  <c r="M137" i="13"/>
  <c r="L23" i="37"/>
  <c r="M61" i="19" l="1"/>
  <c r="M59" i="19"/>
  <c r="M57" i="19"/>
  <c r="M263" i="13"/>
  <c r="M83" i="30" l="1"/>
  <c r="M309" i="13" l="1"/>
  <c r="M307" i="13"/>
  <c r="M301" i="13"/>
  <c r="M299" i="13"/>
  <c r="M292" i="13"/>
  <c r="M290" i="13"/>
  <c r="M280" i="13"/>
  <c r="M277" i="13"/>
  <c r="M275" i="13"/>
  <c r="M273" i="13"/>
  <c r="M272" i="13"/>
  <c r="M271" i="13" s="1"/>
  <c r="M269" i="13"/>
  <c r="M267" i="13"/>
  <c r="M261" i="13"/>
  <c r="M254" i="13"/>
  <c r="M252" i="13"/>
  <c r="M250" i="13"/>
  <c r="M248" i="13"/>
  <c r="M246" i="13"/>
  <c r="M244" i="13"/>
  <c r="M227" i="13"/>
  <c r="M225" i="13"/>
  <c r="M214" i="13"/>
  <c r="M213" i="13"/>
  <c r="M202" i="13"/>
  <c r="M199" i="13" s="1"/>
  <c r="M198" i="13" s="1"/>
  <c r="M195" i="13"/>
  <c r="M191" i="13" s="1"/>
  <c r="M188" i="13"/>
  <c r="M186" i="13"/>
  <c r="M184" i="13"/>
  <c r="M168" i="13"/>
  <c r="M161" i="13"/>
  <c r="M159" i="13"/>
  <c r="M150" i="13"/>
  <c r="M148" i="13"/>
  <c r="M145" i="13" s="1"/>
  <c r="M143" i="13" s="1"/>
  <c r="M142" i="13" s="1"/>
  <c r="M135" i="13"/>
  <c r="M133" i="13" s="1"/>
  <c r="M130" i="13"/>
  <c r="M127" i="13"/>
  <c r="M123" i="13"/>
  <c r="M122" i="13" s="1"/>
  <c r="M120" i="13"/>
  <c r="M106" i="13"/>
  <c r="M103" i="13"/>
  <c r="M91" i="13"/>
  <c r="M89" i="13"/>
  <c r="M82" i="13"/>
  <c r="M77" i="13"/>
  <c r="M68" i="13"/>
  <c r="M66" i="13"/>
  <c r="M61" i="13"/>
  <c r="M60" i="13" s="1"/>
  <c r="M58" i="13"/>
  <c r="M49" i="13"/>
  <c r="M46" i="13"/>
  <c r="M39" i="13"/>
  <c r="M34" i="13"/>
  <c r="M26" i="13"/>
  <c r="M24" i="13" s="1"/>
  <c r="M21" i="13"/>
  <c r="M17" i="17"/>
  <c r="M63" i="28"/>
  <c r="M29" i="28"/>
  <c r="M27" i="28" s="1"/>
  <c r="M25" i="28" s="1"/>
  <c r="M48" i="28"/>
  <c r="M47" i="28" s="1"/>
  <c r="M46" i="28"/>
  <c r="M18" i="28"/>
  <c r="M20" i="11"/>
  <c r="M18" i="11"/>
  <c r="M68" i="7"/>
  <c r="M62" i="7"/>
  <c r="M111" i="9"/>
  <c r="M63" i="9"/>
  <c r="M59" i="9"/>
  <c r="M58" i="9" s="1"/>
  <c r="M103" i="9"/>
  <c r="M102" i="9" s="1"/>
  <c r="M116" i="9"/>
  <c r="M114" i="9" s="1"/>
  <c r="M84" i="9"/>
  <c r="M72" i="9"/>
  <c r="M43" i="9"/>
  <c r="M41" i="9" s="1"/>
  <c r="M31" i="9"/>
  <c r="M28" i="9" s="1"/>
  <c r="M17" i="9"/>
  <c r="R32" i="3"/>
  <c r="N87" i="3"/>
  <c r="M122" i="19"/>
  <c r="M124" i="19"/>
  <c r="M99" i="19"/>
  <c r="M77" i="19"/>
  <c r="M52" i="19"/>
  <c r="M31" i="19"/>
  <c r="M45" i="19"/>
  <c r="M125" i="30"/>
  <c r="M123" i="30" s="1"/>
  <c r="M121" i="30" s="1"/>
  <c r="M16" i="23"/>
  <c r="M43" i="13" l="1"/>
  <c r="M41" i="13" s="1"/>
  <c r="M97" i="13"/>
  <c r="M95" i="13" s="1"/>
  <c r="M119" i="19"/>
  <c r="M125" i="13"/>
  <c r="M223" i="13"/>
  <c r="M221" i="13" s="1"/>
  <c r="M220" i="13" s="1"/>
  <c r="M238" i="13"/>
  <c r="M231" i="13" s="1"/>
  <c r="M86" i="13"/>
  <c r="M84" i="13" s="1"/>
  <c r="M44" i="19"/>
  <c r="M212" i="13"/>
  <c r="M208" i="13" s="1"/>
  <c r="M288" i="13"/>
  <c r="M286" i="13" s="1"/>
  <c r="M64" i="13"/>
  <c r="M56" i="13"/>
  <c r="M178" i="13"/>
  <c r="M176" i="13" s="1"/>
  <c r="M175" i="13" s="1"/>
  <c r="M297" i="13"/>
  <c r="M16" i="13"/>
  <c r="M11" i="13" s="1"/>
  <c r="M37" i="13"/>
  <c r="M31" i="13" s="1"/>
  <c r="M29" i="13" s="1"/>
  <c r="M80" i="13"/>
  <c r="M74" i="13" s="1"/>
  <c r="M72" i="13" s="1"/>
  <c r="M112" i="13"/>
  <c r="M157" i="13"/>
  <c r="M155" i="13" s="1"/>
  <c r="M166" i="13"/>
  <c r="M164" i="13" s="1"/>
  <c r="M206" i="13"/>
  <c r="M205" i="13" s="1"/>
  <c r="M304" i="13"/>
  <c r="M295" i="13" s="1"/>
  <c r="M17" i="28"/>
  <c r="M243" i="24"/>
  <c r="M242" i="24" s="1"/>
  <c r="M239" i="24" s="1"/>
  <c r="M231" i="24" s="1"/>
  <c r="M165" i="24"/>
  <c r="M161" i="24"/>
  <c r="M160" i="24"/>
  <c r="M159" i="24" s="1"/>
  <c r="M228" i="24"/>
  <c r="M220" i="24"/>
  <c r="M206" i="24"/>
  <c r="M203" i="24" s="1"/>
  <c r="M201" i="24"/>
  <c r="M200" i="24" s="1"/>
  <c r="M192" i="24"/>
  <c r="M191" i="24" s="1"/>
  <c r="M187" i="24" s="1"/>
  <c r="M184" i="24"/>
  <c r="M136" i="24"/>
  <c r="M135" i="24" s="1"/>
  <c r="M131" i="24" s="1"/>
  <c r="M122" i="24"/>
  <c r="M120" i="24" s="1"/>
  <c r="M108" i="24"/>
  <c r="M98" i="24" s="1"/>
  <c r="M96" i="24"/>
  <c r="M82" i="24"/>
  <c r="M81" i="24" s="1"/>
  <c r="M74" i="24" s="1"/>
  <c r="M58" i="24"/>
  <c r="M54" i="24" s="1"/>
  <c r="M52" i="24"/>
  <c r="M48" i="24" s="1"/>
  <c r="M35" i="24"/>
  <c r="M32" i="24" s="1"/>
  <c r="M23" i="24"/>
  <c r="L28" i="37"/>
  <c r="L72" i="37"/>
  <c r="L70" i="37" s="1"/>
  <c r="L60" i="37"/>
  <c r="L48" i="37"/>
  <c r="L46" i="37"/>
  <c r="L25" i="37"/>
  <c r="L20" i="37"/>
  <c r="N91" i="36"/>
  <c r="N90" i="36"/>
  <c r="N89" i="36"/>
  <c r="N88" i="36"/>
  <c r="N87" i="36"/>
  <c r="N93" i="36" s="1"/>
  <c r="R82" i="36"/>
  <c r="Q81" i="36"/>
  <c r="P81" i="36"/>
  <c r="O81" i="36"/>
  <c r="N81" i="36"/>
  <c r="N79" i="36" s="1"/>
  <c r="N77" i="36" s="1"/>
  <c r="N76" i="36" s="1"/>
  <c r="R74" i="36"/>
  <c r="Q73" i="36"/>
  <c r="P73" i="36"/>
  <c r="O73" i="36"/>
  <c r="N73" i="36"/>
  <c r="N70" i="36" s="1"/>
  <c r="R69" i="36"/>
  <c r="Q67" i="36"/>
  <c r="P67" i="36"/>
  <c r="O67" i="36"/>
  <c r="N67" i="36"/>
  <c r="R66" i="36"/>
  <c r="R65" i="36"/>
  <c r="Q64" i="36"/>
  <c r="P64" i="36"/>
  <c r="O64" i="36"/>
  <c r="N64" i="36"/>
  <c r="R63" i="36"/>
  <c r="Q62" i="36"/>
  <c r="P62" i="36"/>
  <c r="O62" i="36"/>
  <c r="N62" i="36"/>
  <c r="R61" i="36"/>
  <c r="Q60" i="36"/>
  <c r="P60" i="36"/>
  <c r="O60" i="36"/>
  <c r="N60" i="36"/>
  <c r="R59" i="36"/>
  <c r="N58" i="36"/>
  <c r="N92" i="36" s="1"/>
  <c r="R57" i="36"/>
  <c r="R56" i="36"/>
  <c r="R55" i="36"/>
  <c r="Q54" i="36"/>
  <c r="P54" i="36"/>
  <c r="O54" i="36"/>
  <c r="R53" i="36"/>
  <c r="Q52" i="36"/>
  <c r="P52" i="36"/>
  <c r="O52" i="36"/>
  <c r="N52" i="36"/>
  <c r="R51" i="36"/>
  <c r="Q50" i="36"/>
  <c r="P50" i="36"/>
  <c r="O50" i="36"/>
  <c r="N50" i="36"/>
  <c r="R32" i="36"/>
  <c r="Q31" i="36"/>
  <c r="P31" i="36"/>
  <c r="O31" i="36"/>
  <c r="N31" i="36"/>
  <c r="N29" i="36"/>
  <c r="N27" i="36"/>
  <c r="R26" i="36"/>
  <c r="R25" i="36"/>
  <c r="Q24" i="36"/>
  <c r="P24" i="36"/>
  <c r="O24" i="36"/>
  <c r="N24" i="36"/>
  <c r="R22" i="36"/>
  <c r="Q21" i="36"/>
  <c r="P21" i="36"/>
  <c r="O21" i="36"/>
  <c r="N21" i="36"/>
  <c r="N13" i="36" s="1"/>
  <c r="N11" i="36" s="1"/>
  <c r="N10" i="36" s="1"/>
  <c r="M187" i="29"/>
  <c r="M185" i="29" s="1"/>
  <c r="M183" i="29" s="1"/>
  <c r="M151" i="29"/>
  <c r="M135" i="29"/>
  <c r="M133" i="29" s="1"/>
  <c r="M108" i="29"/>
  <c r="M118" i="29"/>
  <c r="M120" i="29"/>
  <c r="M112" i="29"/>
  <c r="M114" i="29"/>
  <c r="M80" i="29"/>
  <c r="M56" i="29"/>
  <c r="M52" i="29"/>
  <c r="M51" i="29"/>
  <c r="M50" i="29" s="1"/>
  <c r="M22" i="16"/>
  <c r="M102" i="30"/>
  <c r="M97" i="30" s="1"/>
  <c r="M114" i="30"/>
  <c r="M112" i="30" s="1"/>
  <c r="K109" i="30"/>
  <c r="M96" i="30"/>
  <c r="M62" i="30"/>
  <c r="M61" i="30" s="1"/>
  <c r="M56" i="30" s="1"/>
  <c r="M129" i="29"/>
  <c r="M127" i="29"/>
  <c r="M77" i="29"/>
  <c r="M33" i="29"/>
  <c r="M32" i="29"/>
  <c r="N58" i="3"/>
  <c r="N92" i="3" s="1"/>
  <c r="L19" i="14"/>
  <c r="K22" i="14"/>
  <c r="K23" i="14"/>
  <c r="M32" i="14"/>
  <c r="K26" i="14"/>
  <c r="K24" i="14"/>
  <c r="M18" i="12"/>
  <c r="M21" i="18"/>
  <c r="M13" i="18" s="1"/>
  <c r="M36" i="18"/>
  <c r="M35" i="18" s="1"/>
  <c r="M32" i="18" s="1"/>
  <c r="M40" i="20"/>
  <c r="M49" i="22"/>
  <c r="M56" i="22"/>
  <c r="M55" i="22" s="1"/>
  <c r="M51" i="22" s="1"/>
  <c r="M76" i="22"/>
  <c r="M73" i="22" s="1"/>
  <c r="M64" i="22"/>
  <c r="M63" i="22" s="1"/>
  <c r="M60" i="22" s="1"/>
  <c r="M126" i="29"/>
  <c r="M124" i="29" s="1"/>
  <c r="M42" i="11"/>
  <c r="M41" i="11"/>
  <c r="M61" i="29"/>
  <c r="M33" i="25"/>
  <c r="M32" i="25" s="1"/>
  <c r="M34" i="25"/>
  <c r="M29" i="25"/>
  <c r="M28" i="25" s="1"/>
  <c r="M30" i="25"/>
  <c r="M18" i="25"/>
  <c r="M17" i="25"/>
  <c r="M39" i="25"/>
  <c r="M36" i="25" s="1"/>
  <c r="M169" i="24"/>
  <c r="M129" i="19"/>
  <c r="M127" i="19" s="1"/>
  <c r="N21" i="3"/>
  <c r="N91" i="3"/>
  <c r="N90" i="3"/>
  <c r="N89" i="3"/>
  <c r="N88" i="3"/>
  <c r="N67" i="3"/>
  <c r="N29" i="3"/>
  <c r="N27" i="3"/>
  <c r="M17" i="7"/>
  <c r="M21" i="7"/>
  <c r="M19" i="7"/>
  <c r="M29" i="7"/>
  <c r="M31" i="7"/>
  <c r="M41" i="7"/>
  <c r="M43" i="7"/>
  <c r="M54" i="7"/>
  <c r="M56" i="7"/>
  <c r="M58" i="7"/>
  <c r="M60" i="7"/>
  <c r="M70" i="7"/>
  <c r="M64" i="7" s="1"/>
  <c r="M81" i="7"/>
  <c r="M83" i="7"/>
  <c r="M85" i="7"/>
  <c r="M87" i="7"/>
  <c r="M96" i="7"/>
  <c r="M98" i="7"/>
  <c r="M100" i="7"/>
  <c r="M107" i="7"/>
  <c r="M105" i="7" s="1"/>
  <c r="M114" i="7"/>
  <c r="M118" i="7"/>
  <c r="M116" i="7"/>
  <c r="M125" i="7"/>
  <c r="M123" i="7" s="1"/>
  <c r="M129" i="7"/>
  <c r="M127" i="7" s="1"/>
  <c r="M133" i="7"/>
  <c r="M135" i="7"/>
  <c r="M142" i="7"/>
  <c r="M140" i="7" s="1"/>
  <c r="M138" i="7" s="1"/>
  <c r="M159" i="7"/>
  <c r="M150" i="7" s="1"/>
  <c r="M166" i="7"/>
  <c r="M168" i="7"/>
  <c r="M180" i="7"/>
  <c r="M182" i="7"/>
  <c r="M73" i="19"/>
  <c r="M10" i="20"/>
  <c r="M54" i="23"/>
  <c r="M52" i="23" s="1"/>
  <c r="M38" i="28"/>
  <c r="M36" i="28" s="1"/>
  <c r="O81" i="3"/>
  <c r="P81" i="3"/>
  <c r="Q81" i="3"/>
  <c r="O73" i="3"/>
  <c r="P73" i="3"/>
  <c r="Q73" i="3"/>
  <c r="O67" i="3"/>
  <c r="P67" i="3"/>
  <c r="Q67" i="3"/>
  <c r="O64" i="3"/>
  <c r="P64" i="3"/>
  <c r="Q64" i="3"/>
  <c r="O62" i="3"/>
  <c r="P62" i="3"/>
  <c r="Q62" i="3"/>
  <c r="O60" i="3"/>
  <c r="P60" i="3"/>
  <c r="Q60" i="3"/>
  <c r="O54" i="3"/>
  <c r="P54" i="3"/>
  <c r="Q54" i="3"/>
  <c r="O52" i="3"/>
  <c r="P52" i="3"/>
  <c r="Q52" i="3"/>
  <c r="O50" i="3"/>
  <c r="P50" i="3"/>
  <c r="Q50" i="3"/>
  <c r="O31" i="3"/>
  <c r="P31" i="3"/>
  <c r="Q31" i="3"/>
  <c r="O24" i="3"/>
  <c r="P24" i="3"/>
  <c r="Q24" i="3"/>
  <c r="O21" i="3"/>
  <c r="P21" i="3"/>
  <c r="Q21" i="3"/>
  <c r="R22" i="3"/>
  <c r="R25" i="3"/>
  <c r="R26" i="3"/>
  <c r="R51" i="3"/>
  <c r="R53" i="3"/>
  <c r="R55" i="3"/>
  <c r="R56" i="3"/>
  <c r="R57" i="3"/>
  <c r="R59" i="3"/>
  <c r="R61" i="3"/>
  <c r="R63" i="3"/>
  <c r="R65" i="3"/>
  <c r="R66" i="3"/>
  <c r="R69" i="3"/>
  <c r="R74" i="3"/>
  <c r="R82" i="3"/>
  <c r="M12" i="19"/>
  <c r="M10" i="19" s="1"/>
  <c r="M9" i="19" s="1"/>
  <c r="M33" i="19"/>
  <c r="M25" i="19" s="1"/>
  <c r="M64" i="19"/>
  <c r="M71" i="19"/>
  <c r="M76" i="19"/>
  <c r="M98" i="19"/>
  <c r="M95" i="19" s="1"/>
  <c r="M102" i="19"/>
  <c r="M100" i="19" s="1"/>
  <c r="M110" i="19"/>
  <c r="M108" i="19" s="1"/>
  <c r="M116" i="19"/>
  <c r="M112" i="19" s="1"/>
  <c r="M24" i="32"/>
  <c r="M20" i="32"/>
  <c r="M18" i="32"/>
  <c r="M15" i="31"/>
  <c r="M13" i="31" s="1"/>
  <c r="M11" i="31" s="1"/>
  <c r="M10" i="31" s="1"/>
  <c r="M18" i="31" s="1"/>
  <c r="M118" i="30"/>
  <c r="M116" i="30" s="1"/>
  <c r="M110" i="30"/>
  <c r="M108" i="30" s="1"/>
  <c r="M68" i="30"/>
  <c r="M66" i="30" s="1"/>
  <c r="M64" i="30" s="1"/>
  <c r="M54" i="30"/>
  <c r="M52" i="30" s="1"/>
  <c r="M48" i="30"/>
  <c r="M35" i="30"/>
  <c r="M33" i="30" s="1"/>
  <c r="M31" i="30" s="1"/>
  <c r="M28" i="30"/>
  <c r="M26" i="30" s="1"/>
  <c r="M24" i="30" s="1"/>
  <c r="M21" i="30"/>
  <c r="M19" i="30" s="1"/>
  <c r="M17" i="30" s="1"/>
  <c r="M14" i="30"/>
  <c r="M12" i="30" s="1"/>
  <c r="M10" i="30" s="1"/>
  <c r="M204" i="29"/>
  <c r="M195" i="29"/>
  <c r="M193" i="29" s="1"/>
  <c r="M191" i="29" s="1"/>
  <c r="M180" i="29"/>
  <c r="M178" i="29" s="1"/>
  <c r="M173" i="29" s="1"/>
  <c r="M171" i="29"/>
  <c r="M169" i="29"/>
  <c r="M159" i="29"/>
  <c r="M157" i="29" s="1"/>
  <c r="M154" i="29" s="1"/>
  <c r="M149" i="29"/>
  <c r="M131" i="29"/>
  <c r="M122" i="29"/>
  <c r="M116" i="29"/>
  <c r="M110" i="29"/>
  <c r="M75" i="29"/>
  <c r="M54" i="29"/>
  <c r="M16" i="29"/>
  <c r="M14" i="29" s="1"/>
  <c r="M11" i="29" s="1"/>
  <c r="M81" i="28"/>
  <c r="M72" i="28" s="1"/>
  <c r="M66" i="28"/>
  <c r="M64" i="28"/>
  <c r="M62" i="28"/>
  <c r="M54" i="28"/>
  <c r="M52" i="28" s="1"/>
  <c r="M50" i="28" s="1"/>
  <c r="M45" i="28"/>
  <c r="M21" i="28"/>
  <c r="M19" i="28" s="1"/>
  <c r="M15" i="28"/>
  <c r="M20" i="27"/>
  <c r="M18" i="27" s="1"/>
  <c r="M16" i="27"/>
  <c r="M14" i="27" s="1"/>
  <c r="M38" i="26"/>
  <c r="M36" i="26" s="1"/>
  <c r="M34" i="26"/>
  <c r="M32" i="26" s="1"/>
  <c r="M30" i="26"/>
  <c r="M28" i="26" s="1"/>
  <c r="M21" i="26"/>
  <c r="M18" i="26" s="1"/>
  <c r="M16" i="26" s="1"/>
  <c r="M14" i="26"/>
  <c r="M12" i="26" s="1"/>
  <c r="M10" i="26" s="1"/>
  <c r="M20" i="25"/>
  <c r="M248" i="24"/>
  <c r="M246" i="24" s="1"/>
  <c r="M244" i="24" s="1"/>
  <c r="M227" i="24"/>
  <c r="M223" i="24" s="1"/>
  <c r="M218" i="24"/>
  <c r="M198" i="24"/>
  <c r="M182" i="24"/>
  <c r="M167" i="24"/>
  <c r="M163" i="24"/>
  <c r="M143" i="24"/>
  <c r="M141" i="24" s="1"/>
  <c r="M139" i="24"/>
  <c r="M137" i="24" s="1"/>
  <c r="M129" i="24"/>
  <c r="M127" i="24" s="1"/>
  <c r="M118" i="24"/>
  <c r="M116" i="24" s="1"/>
  <c r="M112" i="24"/>
  <c r="M110" i="24" s="1"/>
  <c r="M94" i="24"/>
  <c r="M72" i="24"/>
  <c r="M70" i="24" s="1"/>
  <c r="M68" i="24"/>
  <c r="M66" i="24" s="1"/>
  <c r="M46" i="24"/>
  <c r="M44" i="24" s="1"/>
  <c r="M30" i="24"/>
  <c r="M28" i="24" s="1"/>
  <c r="M26" i="24"/>
  <c r="M24" i="24" s="1"/>
  <c r="M59" i="23"/>
  <c r="M56" i="23" s="1"/>
  <c r="M50" i="23"/>
  <c r="M46" i="23" s="1"/>
  <c r="M41" i="23"/>
  <c r="M38" i="23" s="1"/>
  <c r="M36" i="23"/>
  <c r="M27" i="23" s="1"/>
  <c r="M25" i="23"/>
  <c r="M22" i="23" s="1"/>
  <c r="M15" i="23"/>
  <c r="M12" i="23" s="1"/>
  <c r="M10" i="23" s="1"/>
  <c r="M9" i="23" s="1"/>
  <c r="M35" i="22"/>
  <c r="M33" i="22" s="1"/>
  <c r="M31" i="22"/>
  <c r="M29" i="22" s="1"/>
  <c r="M27" i="22"/>
  <c r="M25" i="22" s="1"/>
  <c r="M13" i="22"/>
  <c r="M11" i="22" s="1"/>
  <c r="M9" i="22" s="1"/>
  <c r="M8" i="22" s="1"/>
  <c r="M29" i="21"/>
  <c r="M27" i="21"/>
  <c r="M32" i="20"/>
  <c r="M30" i="20"/>
  <c r="M28" i="20"/>
  <c r="M30" i="18"/>
  <c r="M28" i="18" s="1"/>
  <c r="M26" i="18"/>
  <c r="M23" i="18" s="1"/>
  <c r="M16" i="17"/>
  <c r="M14" i="17" s="1"/>
  <c r="M11" i="17" s="1"/>
  <c r="M10" i="17" s="1"/>
  <c r="M19" i="17" s="1"/>
  <c r="M15" i="15"/>
  <c r="M13" i="15" s="1"/>
  <c r="M11" i="15" s="1"/>
  <c r="M10" i="15" s="1"/>
  <c r="M19" i="15" s="1"/>
  <c r="M30" i="14"/>
  <c r="M28" i="14"/>
  <c r="M15" i="14"/>
  <c r="M13" i="14" s="1"/>
  <c r="M11" i="14" s="1"/>
  <c r="M19" i="12"/>
  <c r="M17" i="12"/>
  <c r="M16" i="11"/>
  <c r="M62" i="10"/>
  <c r="M60" i="10" s="1"/>
  <c r="M58" i="10" s="1"/>
  <c r="M55" i="10"/>
  <c r="M53" i="10"/>
  <c r="M45" i="10"/>
  <c r="M43" i="10"/>
  <c r="M36" i="10"/>
  <c r="M34" i="10" s="1"/>
  <c r="M32" i="10" s="1"/>
  <c r="M29" i="10"/>
  <c r="M27" i="10" s="1"/>
  <c r="M25" i="10" s="1"/>
  <c r="M22" i="10"/>
  <c r="M20" i="10" s="1"/>
  <c r="M18" i="10" s="1"/>
  <c r="M15" i="10"/>
  <c r="M13" i="10" s="1"/>
  <c r="M11" i="10" s="1"/>
  <c r="M88" i="9"/>
  <c r="M86" i="9" s="1"/>
  <c r="M83" i="9"/>
  <c r="M80" i="9" s="1"/>
  <c r="M78" i="9" s="1"/>
  <c r="M75" i="9"/>
  <c r="M61" i="9"/>
  <c r="M56" i="9"/>
  <c r="M39" i="9"/>
  <c r="M26" i="9"/>
  <c r="M16" i="9"/>
  <c r="M13" i="9" s="1"/>
  <c r="M11" i="9" s="1"/>
  <c r="M18" i="8"/>
  <c r="M16" i="8"/>
  <c r="M26" i="6"/>
  <c r="M24" i="6" s="1"/>
  <c r="M22" i="6"/>
  <c r="M20" i="6" s="1"/>
  <c r="M18" i="6"/>
  <c r="M13" i="6" s="1"/>
  <c r="N81" i="3"/>
  <c r="N79" i="3" s="1"/>
  <c r="N77" i="3" s="1"/>
  <c r="N76" i="3" s="1"/>
  <c r="N73" i="3"/>
  <c r="N70" i="3" s="1"/>
  <c r="N64" i="3"/>
  <c r="N62" i="3"/>
  <c r="N60" i="3"/>
  <c r="N52" i="3"/>
  <c r="N50" i="3"/>
  <c r="N31" i="3"/>
  <c r="N24" i="3"/>
  <c r="M105" i="30" l="1"/>
  <c r="M12" i="32"/>
  <c r="M109" i="13"/>
  <c r="M202" i="29"/>
  <c r="M198" i="29" s="1"/>
  <c r="M190" i="29" s="1"/>
  <c r="M16" i="25"/>
  <c r="M12" i="25" s="1"/>
  <c r="M39" i="11"/>
  <c r="M59" i="29"/>
  <c r="M35" i="29" s="1"/>
  <c r="M39" i="20"/>
  <c r="M37" i="20" s="1"/>
  <c r="M35" i="20" s="1"/>
  <c r="M34" i="20" s="1"/>
  <c r="M30" i="29"/>
  <c r="M28" i="29" s="1"/>
  <c r="N54" i="3"/>
  <c r="M69" i="22"/>
  <c r="M65" i="22" s="1"/>
  <c r="M53" i="13"/>
  <c r="M154" i="13"/>
  <c r="M153" i="13" s="1"/>
  <c r="M42" i="28"/>
  <c r="M230" i="13"/>
  <c r="M174" i="13" s="1"/>
  <c r="L27" i="37"/>
  <c r="L12" i="37" s="1"/>
  <c r="L10" i="37" s="1"/>
  <c r="L9" i="37" s="1"/>
  <c r="K19" i="14"/>
  <c r="M21" i="16"/>
  <c r="M12" i="16" s="1"/>
  <c r="M10" i="16" s="1"/>
  <c r="M9" i="16" s="1"/>
  <c r="M28" i="16" s="1"/>
  <c r="M93" i="19"/>
  <c r="M114" i="24"/>
  <c r="M12" i="28"/>
  <c r="M21" i="21"/>
  <c r="M15" i="21" s="1"/>
  <c r="M13" i="12"/>
  <c r="M11" i="12" s="1"/>
  <c r="M10" i="12" s="1"/>
  <c r="M22" i="12" s="1"/>
  <c r="M50" i="30"/>
  <c r="M40" i="30" s="1"/>
  <c r="M38" i="30" s="1"/>
  <c r="M9" i="30" s="1"/>
  <c r="M85" i="30"/>
  <c r="M74" i="30" s="1"/>
  <c r="M14" i="11"/>
  <c r="M174" i="7"/>
  <c r="M172" i="7" s="1"/>
  <c r="M171" i="7" s="1"/>
  <c r="M38" i="7"/>
  <c r="M34" i="7" s="1"/>
  <c r="M48" i="7"/>
  <c r="M46" i="7" s="1"/>
  <c r="M26" i="7"/>
  <c r="M24" i="7" s="1"/>
  <c r="M161" i="7"/>
  <c r="M148" i="7" s="1"/>
  <c r="M147" i="7" s="1"/>
  <c r="M47" i="9"/>
  <c r="M45" i="9" s="1"/>
  <c r="M148" i="24"/>
  <c r="M146" i="24" s="1"/>
  <c r="M193" i="24"/>
  <c r="M211" i="24"/>
  <c r="M209" i="24" s="1"/>
  <c r="M176" i="24"/>
  <c r="M88" i="24"/>
  <c r="M84" i="24" s="1"/>
  <c r="M61" i="24"/>
  <c r="M22" i="24"/>
  <c r="M19" i="24" s="1"/>
  <c r="L50" i="37"/>
  <c r="L34" i="37" s="1"/>
  <c r="N54" i="36"/>
  <c r="N39" i="36" s="1"/>
  <c r="N35" i="36" s="1"/>
  <c r="N34" i="36" s="1"/>
  <c r="N84" i="36" s="1"/>
  <c r="M95" i="30"/>
  <c r="M88" i="30" s="1"/>
  <c r="M93" i="29"/>
  <c r="M83" i="29" s="1"/>
  <c r="M22" i="25"/>
  <c r="M48" i="22"/>
  <c r="M41" i="22" s="1"/>
  <c r="M38" i="22" s="1"/>
  <c r="M23" i="22"/>
  <c r="M20" i="22" s="1"/>
  <c r="M17" i="22" s="1"/>
  <c r="M44" i="23"/>
  <c r="M68" i="19"/>
  <c r="N93" i="3"/>
  <c r="N13" i="3"/>
  <c r="N11" i="3" s="1"/>
  <c r="N10" i="3" s="1"/>
  <c r="M32" i="28"/>
  <c r="M75" i="7"/>
  <c r="M73" i="7" s="1"/>
  <c r="M51" i="10"/>
  <c r="M49" i="10" s="1"/>
  <c r="M48" i="10" s="1"/>
  <c r="M41" i="10"/>
  <c r="M39" i="10" s="1"/>
  <c r="M10" i="10" s="1"/>
  <c r="M166" i="29"/>
  <c r="M161" i="29" s="1"/>
  <c r="M11" i="6"/>
  <c r="M10" i="6" s="1"/>
  <c r="M29" i="6" s="1"/>
  <c r="M13" i="7"/>
  <c r="M11" i="7" s="1"/>
  <c r="M109" i="7"/>
  <c r="M103" i="7" s="1"/>
  <c r="M92" i="7"/>
  <c r="M90" i="7" s="1"/>
  <c r="M131" i="7"/>
  <c r="M121" i="7" s="1"/>
  <c r="M13" i="8"/>
  <c r="M11" i="8" s="1"/>
  <c r="M10" i="8" s="1"/>
  <c r="M21" i="8" s="1"/>
  <c r="M106" i="9"/>
  <c r="M104" i="9" s="1"/>
  <c r="M21" i="9"/>
  <c r="M19" i="9" s="1"/>
  <c r="M68" i="9"/>
  <c r="M66" i="9" s="1"/>
  <c r="M34" i="9"/>
  <c r="M32" i="9" s="1"/>
  <c r="M20" i="14"/>
  <c r="M18" i="14" s="1"/>
  <c r="M10" i="14" s="1"/>
  <c r="M35" i="14" s="1"/>
  <c r="M26" i="20"/>
  <c r="M24" i="20" s="1"/>
  <c r="M9" i="20" s="1"/>
  <c r="M43" i="20" s="1"/>
  <c r="M23" i="21"/>
  <c r="M58" i="22"/>
  <c r="M19" i="23"/>
  <c r="M38" i="24"/>
  <c r="M125" i="24"/>
  <c r="M25" i="26"/>
  <c r="M24" i="26" s="1"/>
  <c r="M9" i="26"/>
  <c r="M11" i="27"/>
  <c r="M10" i="27" s="1"/>
  <c r="M24" i="27" s="1"/>
  <c r="M58" i="28"/>
  <c r="M56" i="28" s="1"/>
  <c r="M69" i="28"/>
  <c r="M143" i="29"/>
  <c r="M138" i="29" s="1"/>
  <c r="M10" i="32"/>
  <c r="M9" i="32" s="1"/>
  <c r="M27" i="32" s="1"/>
  <c r="M10" i="28"/>
  <c r="M9" i="28" s="1"/>
  <c r="M230" i="24"/>
  <c r="M11" i="18"/>
  <c r="M10" i="18" s="1"/>
  <c r="M38" i="18" s="1"/>
  <c r="N39" i="3"/>
  <c r="N35" i="3" s="1"/>
  <c r="N34" i="3" s="1"/>
  <c r="M10" i="13" l="1"/>
  <c r="M9" i="13" s="1"/>
  <c r="M11" i="21"/>
  <c r="M10" i="21" s="1"/>
  <c r="M32" i="21" s="1"/>
  <c r="M313" i="13"/>
  <c r="M172" i="24"/>
  <c r="M10" i="25"/>
  <c r="M9" i="25" s="1"/>
  <c r="M42" i="25" s="1"/>
  <c r="M72" i="30"/>
  <c r="M19" i="29"/>
  <c r="M10" i="29" s="1"/>
  <c r="M209" i="29" s="1"/>
  <c r="M24" i="28"/>
  <c r="M87" i="28" s="1"/>
  <c r="M37" i="11"/>
  <c r="M32" i="11" s="1"/>
  <c r="L31" i="37"/>
  <c r="L30" i="37" s="1"/>
  <c r="L75" i="37" s="1"/>
  <c r="M11" i="24"/>
  <c r="M42" i="26"/>
  <c r="M10" i="7"/>
  <c r="M188" i="7" s="1"/>
  <c r="M65" i="10"/>
  <c r="M21" i="19"/>
  <c r="M20" i="19" s="1"/>
  <c r="M18" i="23"/>
  <c r="M62" i="23" s="1"/>
  <c r="M10" i="9"/>
  <c r="M118" i="9" s="1"/>
  <c r="M16" i="22"/>
  <c r="M79" i="22" s="1"/>
  <c r="N84" i="3"/>
  <c r="M71" i="30" l="1"/>
  <c r="M129" i="30" s="1"/>
  <c r="M10" i="24"/>
  <c r="M251" i="24" s="1"/>
  <c r="M135" i="19"/>
  <c r="M11" i="11" l="1"/>
  <c r="M10" i="11" s="1"/>
  <c r="M54" i="11" s="1"/>
</calcChain>
</file>

<file path=xl/sharedStrings.xml><?xml version="1.0" encoding="utf-8"?>
<sst xmlns="http://schemas.openxmlformats.org/spreadsheetml/2006/main" count="5531" uniqueCount="1551">
  <si>
    <t>Apoyar anualmente el servicio de vigilancia en cualquiera de sus modalidades en el 52% de las  instituciones educativas de los municipios no certificados</t>
  </si>
  <si>
    <t>Atender durante el cuatrienio a 47.700 familias de la red unidos en la dimensión de dinámica familiar con estrategias de información,  educación y comunicación para  promover principios y valores, derechos humanos,  prevenir la violencia intrafamiliar y la ocurrencia de hechos relacionados con abuso sexual.</t>
  </si>
  <si>
    <t>PROYECTO - APOYO AL DESARROLLO INTEGRAL DE LA POBLACION ADULTA  DEL DEPARTAMENTO DE CUNDINAMARCA</t>
  </si>
  <si>
    <t>A.14.2.4</t>
  </si>
  <si>
    <t>RAZON DE MORTALIDAD MATERNA</t>
  </si>
  <si>
    <t xml:space="preserve">Compensar  10.000 toneladas de CO2  de  la huella del Departamento,   mediante la implementación de  4 estrategias para la reducción y compensación de emisiones de gases efecto invernadero en Cundinamarca en el periodo de gobierno. </t>
  </si>
  <si>
    <t>A.16.1</t>
  </si>
  <si>
    <t>BENEFICENCIA DE CUNDINAMARCA</t>
  </si>
  <si>
    <t>Lograr durante el cuatrienio que 20 emprendimientos turísticos beneficien a población VCA.</t>
  </si>
  <si>
    <t>Lograr durante el cuatrienio mejores habilidades ocupacionales en el 100% de los jóvenes con y sin discapacidad VCA que soliciten programa de capacitación.</t>
  </si>
  <si>
    <t>ORDENANZA 128/12</t>
  </si>
  <si>
    <t>PROYECTO - FORTALECIMIENTO DE ACCIONES RECREO-DEPORTIVAS A VICTIMAS DEL CONFLICTO ARMADO EN EL DEPARTAMENTO DE CUNDINAMARCA</t>
  </si>
  <si>
    <t>SUBPROGRAMA - COMPETITIVIDAD AGROPECUARIA</t>
  </si>
  <si>
    <t>PROYECTO - MEJORAMIENTO ADECUACION Y RESTAURACION DE ESPACIOS CULTURALES Y PATRIMONIALES EN EL DEPARTAMENTO DE CUNDINAMARCA</t>
  </si>
  <si>
    <t>Atender al 100% de la población afectada  con ayuda humanitaria de emergencia,  durante el periodo de gobierno.</t>
  </si>
  <si>
    <t>A.14.7.4.1</t>
  </si>
  <si>
    <t>Contribuir al desarrollo sicomotriz y social de los niños fortaleciendo en el cuatrienio la operación de 160 ludotecas con AMBIENTE e implementos adecuados para las y los niños de 0 a 5 años</t>
  </si>
  <si>
    <t>PROYECTO - SUBSIDIO AL ASEGURAMIENTO EN SALUD A LOS 116 MUNICIPIOS DEL DEPARTAMENTO DE CUNDINAMARCA</t>
  </si>
  <si>
    <t>PROGRAMA - MUJER LIDER Y LIBRE DE VIOLENCIA</t>
  </si>
  <si>
    <t>Apoyar a la población pertenecientes a grupos etnicos, respetando su cosmovision, saberes, identidad cultural e imaginarios, con 5 eventos artísticos y/o culturales focalizados durante el ciatrienio</t>
  </si>
  <si>
    <t>ENTIDADES</t>
  </si>
  <si>
    <t>PROYECTO - APOYO Y ATENCION INTEGRAL A LAS FAMILIAS EN CONDICION DE VULNERABILIDAD CON INCLUSIÓN SOCIAL  EN EL DEPARTAMENTO DE CUNDINAMARCA</t>
  </si>
  <si>
    <t>A.9.5</t>
  </si>
  <si>
    <t>Apoyar el proceso formativo de las y los adultos  mayores con el fortalecimiento de 100  bibliotecas públicas municipales en el cuatrienio</t>
  </si>
  <si>
    <t>PORCENTAJE DE FAMILIAS</t>
  </si>
  <si>
    <t>Contribuír con espacios  de integración para los adultos mayores, fortaleciendo en el cuatrienio la operación de 160 ludotecas con AMBIENTE e implementos adecuados</t>
  </si>
  <si>
    <t>Crear durante el cuatrienio 5 veedurías temáticas ciudadanas conformadas por jóvenes por medio de una red social virtual.</t>
  </si>
  <si>
    <t>PROYECTO - APROVECHAMIENTO DE LAS TIC EN CUNDINAMARCA</t>
  </si>
  <si>
    <t>CENTRO GESTOR - 1105</t>
  </si>
  <si>
    <t>PROGRAMA - CULTURA E IDENTIDAD CUNDINAMARQUESA</t>
  </si>
  <si>
    <t>Atender integralmente a  600 niñas y niños de escasos recursos, cada año, en los centros de protección de la Beneficencia de Cundinamarca</t>
  </si>
  <si>
    <t>Formular e implementar, durante el período de gobierno, la política pública de seguridad vial en el Departamento</t>
  </si>
  <si>
    <t>PROYECTO - FORTALECIMIENTO DE LA EDUCACION PERTINENTE MEDIANTE DIVERSOS PROGRAMAS Y ALTERNATIVAS DEPARTAMENTO DE CUNDINAMARCA</t>
  </si>
  <si>
    <t>SUBPROGRAMA - SERVICIO PÚBLICO DE ASISTENCIA TÉCNICA DIRECTA RURAL  Y RIESGOS AGROPECUARIOS</t>
  </si>
  <si>
    <t>PROYECTO - FORTALECIMIENTO DE LAS BIBLIOTECAS PUBLICAS MUNICIPALES DE CUNDINAMARCA</t>
  </si>
  <si>
    <t>Reducir la prevalencia de desnutrición global en niños y niñas menores de 6 años a 3.5% en el cuatrienio</t>
  </si>
  <si>
    <t>Implementar una de red social de datos,  basada en infraestructura de telecomunicaciones del Departamento, priorizando los servicios de salud y educación que garantice la conectividad entre la administración Departamental y 35 municipios (NBI más altos), durante el periodo de gobierno</t>
  </si>
  <si>
    <t>PROYECTO</t>
  </si>
  <si>
    <t>PROYECTO - FORTALECIMIENTO A LAS INSTITUCIONES DEL SECTOR SALUD  DEL DEPARTAMENTO DE CUNDINAMARCA</t>
  </si>
  <si>
    <t>CENTRO GESTOR - 1120</t>
  </si>
  <si>
    <t>SUBPROGRAMA - MUJER LIBRE DE VIOLENCIA</t>
  </si>
  <si>
    <t>Beneficiar  en el cuatrienio a  5.000 personas en situación de inseguridad alimentaria a través de las plantas de soya.</t>
  </si>
  <si>
    <t>SUBPROGRAMA - DESARROLLOS INFORMÁTICOS PARA LA GESTIÓN</t>
  </si>
  <si>
    <t>A.2.2.4.1.1.2</t>
  </si>
  <si>
    <t>VACUNAS</t>
  </si>
  <si>
    <t>A.7.5</t>
  </si>
  <si>
    <t>PROYECTO - IMPLEMENTACIÓN DE UN SISTEMA  DE TRANSPORTE MASIVO FERREO EN EL DEPARTAMENTO DE CUNDINAMARCA</t>
  </si>
  <si>
    <t>Organizar 1 sistema para la operatividad del Plan Regional Integral de Cambio Climático, en el periodo de gobierno, de acuerdo con las directrices del Plan Nacional de Adaptación.</t>
  </si>
  <si>
    <t>PORCENTAJE DE ENTIDADES</t>
  </si>
  <si>
    <t>Mantener cada año en  100% la cobertura bruta en básica primaria, priorizando la población en pobreza extrema que demande el servicio</t>
  </si>
  <si>
    <t>MUERTES</t>
  </si>
  <si>
    <t>Lograr que el 73 % de los municipios del Departamento  (92)  mejoren su calificación en el índice de gobierno abierto</t>
  </si>
  <si>
    <t>CREDITOS</t>
  </si>
  <si>
    <t>Mejorar en el cuatrienio el promedio de desempeño en las pruebas saber del grado 5° de las instituciones educativas oficiales en dos puntos por cada área evaluada</t>
  </si>
  <si>
    <t>PITS</t>
  </si>
  <si>
    <t>PROYECTO - DESARROLLO DEL PROGRAMA DEPORTE: SALUD, CONVIVENCIA Y PAZ EN EL DEPARTAMENTO DE CUNDINAMARCA</t>
  </si>
  <si>
    <t>SUBCUENTA - OTROS GASTOS EN SALUD</t>
  </si>
  <si>
    <t>% DE MUNICIPIOS</t>
  </si>
  <si>
    <t>PROYECTO - IDENTIFICACIÓN E IMPLEMENTACION DE PROCESOS  DE VALORACION DE BIENES Y SERVICIOS AMBIENTALES PARA LA SOSTENIBILIDAD  TERRITORIAL EN EL DEPARTAMENTO DE  CUNDINAMARCA</t>
  </si>
  <si>
    <t>PROYECTO - ADECUACIÓN FISICA DE LOS CENTROS DE PROTECCION DE LA BENEFICENCIA DE CUNDINAMARCA</t>
  </si>
  <si>
    <t>Implementar en el cuatrienio en 35 Municipios el programa de cuidadores de personas adultas mayores</t>
  </si>
  <si>
    <t>A.14.4.3</t>
  </si>
  <si>
    <t>Gestionar la expedición  y renovación de  documentos de identidad al 100% de los jóvenes que lo demanden, con prioridad en la población de la red Unidos.</t>
  </si>
  <si>
    <t>A.13.11</t>
  </si>
  <si>
    <t>UNIDAD ADMINISTRATVA ESPECIAL  BOSQUES DE CUNDINAMARCA</t>
  </si>
  <si>
    <t>Disponer de 2 centro de Atención Especializada, al servicio de Adolescentes Infractores de la Ley Penal, en el presente periodo de gobierno</t>
  </si>
  <si>
    <t>Implementar (1) Bodega de Datos y articula e integra Sistema de Información, Observatorios e Información y Datos y Cifras Sectoriales,</t>
  </si>
  <si>
    <t>PROYECTO - DESARROLLO DE LA ORGANIZACIÓN DE LA SECRETARIA DE EDUCACIÓN PARA LA ADECUADA DIRECCION, ADMINISTRACION, ASESORIA Y ASISTENCIA TECNICA PARA LA PRESTACION DEL SERVICIO EDUCATIVO CON CALIDAD, EFICIENCIA, EFECTIVIDAD Y OPORTUNIDAD. DEPARTAMENTO DE CUNDINAMARCA</t>
  </si>
  <si>
    <t xml:space="preserve">I.V.A. telefonia movil (Cultura)                            </t>
  </si>
  <si>
    <t>PORCENTAJE DE POBLACION</t>
  </si>
  <si>
    <t>SUBPROGRAMA - VEEDURIAS CIUDADANAS Y MECANISMOS DE PARTICIPACIÓN SOCIAL EN SALUD</t>
  </si>
  <si>
    <t>Ofrecer formación deportiva inicial a 33.228 niñas y niños entre 6 y 11 años en el cuatrienio a través de escuelas de formación especializadas</t>
  </si>
  <si>
    <t>SUBPROGRAMA - EMPRENDIMIENTO</t>
  </si>
  <si>
    <t>CENTRO GESTOR - 1124</t>
  </si>
  <si>
    <t xml:space="preserve">Promover la participación de las y los jóvenes en actividades de investigación, conservación y rescate del patrimonio cultural en 5 municipios en el cuatrienio </t>
  </si>
  <si>
    <t>SUBPROGRAMA - PLANIFICACIÓN INTEGRAL DE LA GESTIÓN</t>
  </si>
  <si>
    <t>AREAS</t>
  </si>
  <si>
    <t>SUBPROGRAMA - SEGURIDAD URBANA Y RURAL</t>
  </si>
  <si>
    <t>Apoyar el proceso formativo de las y los adolescentes con el fortalecimiento de 116 bibliotecas públicas municipales en el cuatrienio</t>
  </si>
  <si>
    <t>SEMANAS</t>
  </si>
  <si>
    <t>Promover durante el cuatrienio, actividad física, juegos didácticos, lúdicas, pre deportiva pedagógica a 3.776 y y las niñas y los niños de 0 a 6 años Víctimas del Conflicto Armado.</t>
  </si>
  <si>
    <t>Reducir y compensar 10.000 toneladas de CO2  de  la huella de carbono del Departamento  en el cuatrienio, mediante la implementación de la estrategia Cundinamarca Neutra.</t>
  </si>
  <si>
    <t>A.2.2.1.1</t>
  </si>
  <si>
    <t>A.10.8</t>
  </si>
  <si>
    <t>EMPRESAS</t>
  </si>
  <si>
    <t>Logar que el 80% de los entes territoriales municipales, las entidades responsables de pago y la red contratada por el departamento mejoren los resultados en el aseguramiento y la prestación de servicios de salud</t>
  </si>
  <si>
    <t>PROYECTO - DESARROLLO  Y GARANTIA DE  LAS OPORTUNIDADES Y CAPACIDADES DE BIENESTAR Y CALIDAD DE VIDA EN LOS Y LAS JÓVENES  DEL DEPARTAMENTO DE CUNDINAMARCA</t>
  </si>
  <si>
    <t>TOTAL INSTITUTO DE INFRAESTRUCTURA Y CONCESIONES DE CUNDINAMARCA</t>
  </si>
  <si>
    <t>INTERESES PARTICIPACIÓN SOBRETASA AL ACPM</t>
  </si>
  <si>
    <t>A.6.7</t>
  </si>
  <si>
    <t>ALIZANZAS</t>
  </si>
  <si>
    <t>A14.6.3</t>
  </si>
  <si>
    <t>SUBPROGRAMA - APROPIACIÓN DE NUESTRA IDENTIDAD CULTURAL</t>
  </si>
  <si>
    <t>OBRAS</t>
  </si>
  <si>
    <t>Apoyar 3 iniciativas de emprendimiento e industria cultural de adultos en el cuatrienio</t>
  </si>
  <si>
    <t>SUBPROGRAMA - FINANCIAMIENTO PARA EL SECTOR AGROPECUARIO</t>
  </si>
  <si>
    <t>Promocionar internacionalmente, durante el período de gobierno 4 Provincias del Departamento y sus productos</t>
  </si>
  <si>
    <t xml:space="preserve">Fortalecer durante el periodo de gobierno 2 observatorios de competitividad y mercado laboral </t>
  </si>
  <si>
    <t>A.9.16</t>
  </si>
  <si>
    <t>Promover y divulgar la defensa de los derechos de los niños y niñas en los 116 municipios con estrategias IEC (Información, educación, comunicación)</t>
  </si>
  <si>
    <t>Ascender dos puestos en el ranking nacional de transparencia</t>
  </si>
  <si>
    <t>PROGRAMA - VICTIMAS DEL CONFLICTO ARMADO CON GARANTIA DE DERECHOS</t>
  </si>
  <si>
    <t>PRESUPUESTO_VIGENCIA</t>
  </si>
  <si>
    <t>Crear 2 proyectos de investigación innovación competitividad y emprendimiento en salud pública, en el ámbito médico-hospitalario, medio AMBIENTE y la biodiversidad, y en desarrollo social económico.</t>
  </si>
  <si>
    <t>Promover la adquisición de habilidades en procesos de  minimización, separación en la fuente y reciclaje a través de la sensibilización, asistencia técnica y acompañamiento a  administraciones municipales a 6 comunidades del Departamento en el periodo de gobierno.</t>
  </si>
  <si>
    <t>PROYECTO - APOYO A LA GESTION PARA LA INTEGRACION Y EL DESARROLLO COMPETITIVO Y SOSTENIBLE SUBREGIONAL  DEPARTAMENTO DE CUNDINAMARCA</t>
  </si>
  <si>
    <t>SUBPROGRAMA - ESCUELA DE BUEN GOBIERNO</t>
  </si>
  <si>
    <t>PLATAFORMA TECNOLOGICA</t>
  </si>
  <si>
    <t>Implementar durante el cuatrienio 116 planes de prevención municipal y uno departamental</t>
  </si>
  <si>
    <t>Atender integralmente a  1,200 personas con discapacidad mental, cada año, en los centros de protección de la Beneficencia de Cundinamarca</t>
  </si>
  <si>
    <t>SUBCUENTA - SALUD PÚBLICA COLECTIVA</t>
  </si>
  <si>
    <t>Vincular Instituciones educativas oficiales para adelantar 350 proyectos con componentes de Ciencia y  Tecnología en el cuatrienio</t>
  </si>
  <si>
    <t>PROYECTO - DESARROLLO DEL PROGRAMA DE SALUD OCUPACIONAL  EN LA BENEFICENCIA DE CUNDINAMARCA</t>
  </si>
  <si>
    <t>ORDENANZA 128/12, LEY 99/93, LEY 1450/11</t>
  </si>
  <si>
    <t>10</t>
  </si>
  <si>
    <t>A.9.1</t>
  </si>
  <si>
    <t>TOTAL SECRETARIA DE AGRICULTURA Y DESARROLLO RURAL</t>
  </si>
  <si>
    <t xml:space="preserve">Actualizar, mantener y ampliar la funcionalidad de 32 sistemas de información y aplicativos existentes en las diferentes dependencias del Departamento, durante el periodo de gobierno para facilitar la gestión de la administración departamental. </t>
  </si>
  <si>
    <t>SUBPROGRAMA - INSTANCIAS DE PARTICIPACIÓN INSTITUCIONAL</t>
  </si>
  <si>
    <t>Fomentar el desarrollo integral a través de procesos de formación artística y cultural de las y los jóvenes en  15 municipios anualmente</t>
  </si>
  <si>
    <t>SUBPROGRAMA - ENERGÍA Y GAS PARA EL DESARROLLO DE CUNDINAMARCA</t>
  </si>
  <si>
    <t>Lograr que las y los infantes influyan en las decisiones del Consejo de Política Social Departamental, como voceros de la niñez organizada asistiendo al 100% de las reuniones</t>
  </si>
  <si>
    <t>Mejorar en el cuatrienio el funcionamiento de los modelos flexibles de aprendizaje para primaria  en 76 sedes educativas rurales (escuela nueva y aceleración del aprendizaje)</t>
  </si>
  <si>
    <t>Implementar durante el cuatrienio la educación inclusiva para la infancia en 100 instituciones educativas de los municipios no certificados</t>
  </si>
  <si>
    <t>A.7.7</t>
  </si>
  <si>
    <t>PROYECTO - MEJORAMIENTO DE LA PRODUCTIVIDAD Y COMPETITIVIDAD DE LA CADENA DEL CACAO EN EL DEPARTAMENTO DE CUNDINAMARCA</t>
  </si>
  <si>
    <t>PROYECTO - DIFUSIÓN PROMOCION Y MERCADEO TURISTICO EN EL DEPARTAMENTO DE CUNDINAMARCA</t>
  </si>
  <si>
    <t>COMPUTADORES</t>
  </si>
  <si>
    <t>0RDENANZA 128/12</t>
  </si>
  <si>
    <t>GARANTIAS</t>
  </si>
  <si>
    <t>ESPACIOS</t>
  </si>
  <si>
    <t>ZONAS</t>
  </si>
  <si>
    <t>FONDOS</t>
  </si>
  <si>
    <t>A.1.1.6</t>
  </si>
  <si>
    <t>DELITOS</t>
  </si>
  <si>
    <t>Construir, adecuar y mantener en el cuatrienio 50 espacios sociales de recreación y deporte</t>
  </si>
  <si>
    <t>SUBPROGRAMA - INNOVACION PRODUCTIVA</t>
  </si>
  <si>
    <t>Implementar 20 bancos de maquinaria y equipos agrícolas en el Departamento en el periodo de gobierno.</t>
  </si>
  <si>
    <t>116 municipios fortalecidos en  mecanismos y procedimientos efectivos para que la ciudadanía acceda fácilmente a la justicia, durante el actual periodo de gobierno</t>
  </si>
  <si>
    <t xml:space="preserve">Realizar un proyecto piloto de silvicultura para el manejo del arbolado urbano durante la presente administración </t>
  </si>
  <si>
    <t>Promover la expansión de  electrificación rural a 200 hogares,  durante el periodo 2012-2016.</t>
  </si>
  <si>
    <t>Generar durante el cuatrienio oportunidades de desarrollo al 100% de las Mujeres Cabeza de hogar VCA con y sin discapacidad, que soliciten.</t>
  </si>
  <si>
    <t>SISTEMA GENERAL DE PARTICIPACION SIN SITUACION DE FONDOS</t>
  </si>
  <si>
    <t>PROYECTO - CONSTRUCCIÓN ADECUACION DE 28 CASAS DE GOBIERNO EN EL DEPARTAMENTO DE CUNDINAMARCA</t>
  </si>
  <si>
    <t>SUBPROGRAMA - PROMOCIÓN TURÍSTICA</t>
  </si>
  <si>
    <t>Reducir en el cuatrenio los índices de infestación larvario aedes aegypti (dengue) al 10%</t>
  </si>
  <si>
    <t>SECRETARIA DE GOBIERNO</t>
  </si>
  <si>
    <t>Mantener cada año la cofinanciación del aseguramiento al régimen subsidiado en los 116 municipios del departamento</t>
  </si>
  <si>
    <t>Subir un puesto en el ranking del desempeño a nivel nacional del Departamento.</t>
  </si>
  <si>
    <t>CENTRO GESTOR - 1122</t>
  </si>
  <si>
    <t>SUBPROGRAMA - VALORACIÓN DE BIENES Y SERVICIOS AMBIENTALES</t>
  </si>
  <si>
    <t>Transferir capacidades y habilidades a 2.000 mujeres y con prioridad en las mujeres cabeza de familia, en emprendimiento, desarrollo empresarial y gestión de proyectos durante el cuatrienio</t>
  </si>
  <si>
    <t>Contribuir al Buen Gobierno con Escuela de Buen Gobierno que mejore capacidades como mínimo del 40% de funcionarios.</t>
  </si>
  <si>
    <t xml:space="preserve">Realizar acciones de prevención para mejorar la convivencia en los 116 municipios mediante la implementación de la estrategia ""deporte, convivencia y paz"" </t>
  </si>
  <si>
    <t>Fortalecer la práctica de deportes extremos en el departamento con la realización de 3 festivales</t>
  </si>
  <si>
    <t>Mejorar AMBIENTEs físicos para la prestación de servicios sociales en los 116 municipios</t>
  </si>
  <si>
    <t>PROYECTO - APOYO A LA CONSTRUCCION Y/O ADQUISICIÓN DE VIVIENDA Y CONSTRUCCIÓN DE OBRAS DE INFRAESTRUCTURA URBANÍSTICA PARA POBLACION EN SITUACION DE DESPLAZAMIENTO EN 112 MUNICIPIOS DEPARTAMENTO DE CUNDINAMARCA</t>
  </si>
  <si>
    <t>Incorporar durante el cuatrienio a 500 familias víctimas del conflicto y en condición de desplazamiento a proyectos y sistema productivo.</t>
  </si>
  <si>
    <t>TOTAL BENEFICENCIA DE CUNDINAMARCA</t>
  </si>
  <si>
    <t>SUBPROGRAMA - ESFUERZO FISCAL</t>
  </si>
  <si>
    <t>A.2.2.6.2</t>
  </si>
  <si>
    <t>Capacitar a 300 mineros que mejoren el  recurso humano del sector, durante el periodo 2012-2016.</t>
  </si>
  <si>
    <t>Promover el potencial turístico de los Municipios durante el cuatrienio, con  la realización de 400 eventos.</t>
  </si>
  <si>
    <t>ORDENAZA 128/12</t>
  </si>
  <si>
    <t>Mejorar Calidad de Vida de afiliados a la Corporación Social de Cundinamarca con colocación de $ 666.043 millones durante el cuatrienio en líneas de crédito</t>
  </si>
  <si>
    <t>OBJETIVO  - FORTALECIMIENTO INSTITUCIONAL PARA GENERAL VALOR DE LO PÚBLICO</t>
  </si>
  <si>
    <t>Implementar en un 100% la Historia Clínica Electrónica unificada, mediante un sistema integrado de información durante el periodo de gobierno como mecanismo para mejorar la prestación del servicio.</t>
  </si>
  <si>
    <t>ESCUELA</t>
  </si>
  <si>
    <t>A.2.2.7.4</t>
  </si>
  <si>
    <t>SECRETARIA DE EDUCACION</t>
  </si>
  <si>
    <t>BRIGADAS</t>
  </si>
  <si>
    <t>Reducir en el cuatrienio en mínimo 10% las muertes por homicidio en jóvenes</t>
  </si>
  <si>
    <t>Apoyar el desarrollo integral de las y los adolescentes a través de procesos de formación artística y cultural en  40 municipios anualmente con intervención articulada con la jornada complementaria</t>
  </si>
  <si>
    <t>INDICE</t>
  </si>
  <si>
    <t>TOTAL SECRETARIA DE COOPERACION Y ENLACE INSTITUCIONAL</t>
  </si>
  <si>
    <t>SECRETARIA GENERAL</t>
  </si>
  <si>
    <t>PROGRAMA - TURISMO REGIONAL</t>
  </si>
  <si>
    <t>COBERTURA DE VACUNACION</t>
  </si>
  <si>
    <t>Diseñar y poner en marcha dos bancos de conocimiento: uno de proyectos de CTeI y otro de saberes tradicionales y biodiversidad del departamento durante el período de Gobierno.</t>
  </si>
  <si>
    <t>PORCENTAJE</t>
  </si>
  <si>
    <t>Incentivar en el cuatrienio  a 200 docentes y/o personal de apoyo que participen en jornadas complementarias o que presenten proyectos de investigación</t>
  </si>
  <si>
    <t>Lograr la participación de 2.500 personas VCA en los juegos deportivos comunales Departamentales.</t>
  </si>
  <si>
    <t>Implementar la estrategia ""Cundinamarca Asegurada y Saludable"" en los 116 municipios</t>
  </si>
  <si>
    <t>PROYECTO - PROTECCIÓN A LAS VICTIMAS DEL CONFLICTO ARMADO DEL DEPARTAMENTO  CUNDINAMARCA</t>
  </si>
  <si>
    <t>TOTAL SECRETARIA GENERAL</t>
  </si>
  <si>
    <t>PROGRAMA - DESARROLLO RURAL INTEGRAL</t>
  </si>
  <si>
    <t>Mejorar en el cuatrienio, el promedio de desempeño de las pruebas SABER del grado noveno de las instituciones educativas oficiales en 2 puntos en cada área evaluada</t>
  </si>
  <si>
    <t>Establecer 700 hectáreas de plantaciones forestales para fortalecer el primer eslabón de la  cadena forestal de la región Bogotá - Cundinamarca durante la presente administración.</t>
  </si>
  <si>
    <t>Apoyar 2000 Organizaciones comunitarias en administración y gestión comunal  durante el periodo del gobierno</t>
  </si>
  <si>
    <t>Asistir técnicamente en el cuatrienio a 107 municipios para la creación de los Consejos Municipales de Juventud - CMJ</t>
  </si>
  <si>
    <t>OBSERVATORIO</t>
  </si>
  <si>
    <t>A.8.5</t>
  </si>
  <si>
    <t>SUBPROGRAMA - DESARROLLO EMPRESARIAL</t>
  </si>
  <si>
    <t>INSTANCIAS DE PARTICIPACION</t>
  </si>
  <si>
    <t>PROYECTO - IMPLANTACIÓN DE UN PROGRAMA DE FORMACION EN COMPETENCIAS EMPRENDEDORAS QUE PROMUEVAN LA IDENTIFICACION DE OPORTUNIDADES PRODUCTIVAS Y CREACION DE EMPRESAS EN INSTITUCIONES EDUCATIVAS OFICIALES DEPARTAMENTO CUNDINAMARCA</t>
  </si>
  <si>
    <t>PROYECTOS</t>
  </si>
  <si>
    <t xml:space="preserve">Construir durante los próximos cuatro años 8,000 M2 de puentes peatonales y vehiculares en la red vial secundaria y terciaria </t>
  </si>
  <si>
    <t>PROYECTO - PROTECCIÓN SOCIAL A PERSONAS CON DISCAPACIDAD MENTAL EN CENTROS DE LA  BENEFICENCIA DE CUNDINAMARCA</t>
  </si>
  <si>
    <t>Incrementar en 10% las toneladas anuales de la producción de alimentos llegando a 4.400.000 toneladas producidas.</t>
  </si>
  <si>
    <t>Fortalecer con 30 misiones comerciales a Mipymes del Departamento, durante el período de gobierno</t>
  </si>
  <si>
    <t>PROGRAMA - CUNDINAMARCA COMPETITIVA, EMPRENDEDORA Y EMPRESARIAL</t>
  </si>
  <si>
    <t>A.1.7.1</t>
  </si>
  <si>
    <t>A.9.3</t>
  </si>
  <si>
    <t>PROYECTO - FORTALECIMIENTO DEL PROGRAMA DE ALTOS LOGROS DEPORTIVOS EN EL DEPARTAMENTO DE CUNDINAMARCA</t>
  </si>
  <si>
    <t>Apoyar el proceso formativo de las y los jóvenes con el fortalecimiento de 100 bibliotecas públicas municipales en el cuatrienio</t>
  </si>
  <si>
    <t>SECRETARIA DE AGRICULTURA Y DESARROLLO RURAL</t>
  </si>
  <si>
    <t>Apoyar en el cuatrienio a 1.000 familias urbanas, técnica y financieramente, a través de programas de mejoramiento de viviendas,  en conjunción con las demás entidades cooperantes del SNV. con prioridad en las familias de pobreza extrema</t>
  </si>
  <si>
    <t>Generar que un 10% de los cundinamarqueses identifiquen, apropien y difundan  sus valores patrimoniales para lograr la identidad cundinamarquesa.</t>
  </si>
  <si>
    <t>HECTAREAS</t>
  </si>
  <si>
    <t>CENTRO GESTOR - 1103</t>
  </si>
  <si>
    <t>Mantener en el cuatrienio las acciones de promoción y prevención en salud mental al 100% de las personas Víctimas del Conflicto Armado identificadas.</t>
  </si>
  <si>
    <t>CORREDORES</t>
  </si>
  <si>
    <t>PROYECTO - MEJORAMIENTO PRODUCTIVIDAD Y COMPETITIVIDAD DE LA CADENA  CARNICA DEPARTAMENTO DE CUNDINAMARCA</t>
  </si>
  <si>
    <t xml:space="preserve">Incrementar  en  500  las  Hectáreas  conservadas en ecosistemas reguladores del recurso hídrico en el periodo de gobierno, mediante la estrategia de mantenimiento de predios adquiridos. </t>
  </si>
  <si>
    <t>Señalizar durante el cuatrienio 22 municipios con potencial turístico</t>
  </si>
  <si>
    <t>PROYECTO - DIFUSIÓN DE LA MUSICA A TRAVES DE LA BANDA SINFONICA DE CUNDINAMARCA</t>
  </si>
  <si>
    <t>7  provincias con manejo en la Gestión Integral del Riesgo</t>
  </si>
  <si>
    <t>PROGRAMA - INFRAESTRUCTURA Y SERVICIOS PARA LA COMPETITIVIDAD  Y LA MOVILIDAD</t>
  </si>
  <si>
    <t>Incrementar cobertura alcantarillado a 150.000 habitantes nuevos con calidad y continuidad en zonas urbanas y centros poblados</t>
  </si>
  <si>
    <t>SUBPROGRAMA - CUNDINAMARCA ATRACTIVA PARA LA INVERSIÓN EXTERNA</t>
  </si>
  <si>
    <t>Mantener en el cuatrienio las acciones de promoción y prevención en salud sexual y reproductiva al 100% de las personas Víctimas del Conflicto Armado identificadas.</t>
  </si>
  <si>
    <t>TOTAL SECRETARIA DE DESARROLLO SOCIAL</t>
  </si>
  <si>
    <t>Celebrar  en el cuatrienio 6 Encuentros de adultas y adultos mayores e intergeneracionales</t>
  </si>
  <si>
    <t>PLAN</t>
  </si>
  <si>
    <t>PROYECTO - CONSTRUCCIÓN DE LA EXCELENCIA EN LA EDUCACION SUPERIOR PARA EL MEJORAMIENTO DE LA CALIDAD DE VIDA DEL DEPARTAMENTO DE CUNDINAMARCA</t>
  </si>
  <si>
    <t>Implementar, Operativizar, Fortalecer, Seguir y Evaluar el servicio público de asistencia técnica directa rural agropecuaria en los 116 municipios</t>
  </si>
  <si>
    <t>A.14.3.4</t>
  </si>
  <si>
    <t>A.17.1</t>
  </si>
  <si>
    <t>PROYECTO - DESARROLLO DE ESTRATEGIAS PARA PROMOVER EL BILINGUISMO  DEPARTAMENTO DE CUNDINAMARCA</t>
  </si>
  <si>
    <t>Gestionar el acceso a la prestación de servicios de salud al 100% de la población pobre no asegurada que demande las atenciones en salud y afiliada al régimen subsidiado en lo no cubierto por subsidios a la demanda del departamento</t>
  </si>
  <si>
    <t>TOTAL SECRETARIA DEL AMBIENTE</t>
  </si>
  <si>
    <t>PROYECTO - IMPLEMENTACIÓN DE LA ESTRATEGIA CUNDINAMARCA NEUTRA COMO MECANISMO PARA LA ADAPTACION Y MITIGACION DE LOS EFECTOS DEL CAMBIO CLIMATICO EN EL DEPARTAMENTO DE  CUNDINAMARCA</t>
  </si>
  <si>
    <t>A.18.9</t>
  </si>
  <si>
    <t>Beneficiar en el cuatrienio a 11.000 familias en estado de inseguridad alimentaria a través de los Bancos de alimentos.</t>
  </si>
  <si>
    <t>AÑOS</t>
  </si>
  <si>
    <t>PROYECTO - CONSTRUCCIÓN MEJORAMIENTO REHABILITACION  Y MANTENIMIENTO DE PUENTES VEHICULARES PEATONALES Y MODULARES DESARMABLES EN LAS VIAS URBANAS SECUNDARIAS Y TERCIARIAS DEL DEPARTAMENTO DE CUNDINAMARCA</t>
  </si>
  <si>
    <t>A.2.2.10</t>
  </si>
  <si>
    <t>A.7.3</t>
  </si>
  <si>
    <t>SUBPROGRAMA - COOPERACIÓN Y GESTIÓN ESTRATÉGICA PARA EL DESARROLLO</t>
  </si>
  <si>
    <t>Reducir en el cuatrienio en 20% las muertes por homicidio en niños y niñas de 6 a 11 años</t>
  </si>
  <si>
    <t>PORCENTAJE DE HOSPITALES</t>
  </si>
  <si>
    <t>A.2.2.1.3</t>
  </si>
  <si>
    <t>Garantizar la reserva deportiva con la Identificación y selección en el cuatrienio de 850 nuevos talentos para deporte convencional y con discapacidad</t>
  </si>
  <si>
    <t>PROYECTO - FORTALECIMIENTO DEL PROGRAMA RE-CREANDO EN EL DEPARTAMENTO DE CUNDINAMARCA</t>
  </si>
  <si>
    <t>CENTRO GESTOR - 1183</t>
  </si>
  <si>
    <t>PROYECTO - FORMULACIÓN E IMPLEMENTACION DEL PLAN DE DESARROLLO PARA EL SECTOR MINERO  DEL DEPARTAMENTO DE CUNDINAMARCA</t>
  </si>
  <si>
    <t>Mejorar la condición nutricional de los niños, Atendiendo anualmente a 2.000 madres gestantes y lactantes con complemento alimentario, con prioridad en la población de pobreza extrema</t>
  </si>
  <si>
    <t>Lograr, en el cuatrienio,  la permanencia de 34.560 niñas y niños  mediante subsidio al transporte escolar incrementando de 62 a 90 dias la cofinanciación</t>
  </si>
  <si>
    <t>PROGRAMA - CUNDINAMARCA VERDE: CALIDAD DE VIDA</t>
  </si>
  <si>
    <t>SUBPROGRAMA - INSTANCIAS DE PARTICIPACIÓN EN ORGANIZACIONES COMUNITARIAS</t>
  </si>
  <si>
    <t>Implementar en el 100% de las IPS de baja complejidad de la Red Hospitalaria Pública de Cundinamarca los servicios de diagnóstico, consulta y radiología  bajo la modalidad de telemedicina.</t>
  </si>
  <si>
    <t>A.2.2.7</t>
  </si>
  <si>
    <t>PROYECTO - FORTALECIMIENTO Y EMPRENDIMIENTO AL SECTOR EMPRESARIAL  EN EL DEPARTAMENTO DE CUNDINAMARCA</t>
  </si>
  <si>
    <t>A.14.18.4</t>
  </si>
  <si>
    <t>Proteger integralmente a 630 adultas y adultos mayores cada año en los centros de protección de la Beneficencia de Cundinamarca</t>
  </si>
  <si>
    <t xml:space="preserve">100% entidades mejoran el resultado de la gestión con herramientas gerenciales S y E </t>
  </si>
  <si>
    <t>PROGRAMA - TIC EN CUNDINAMARCA</t>
  </si>
  <si>
    <t>CENTROS</t>
  </si>
  <si>
    <t>CTJT</t>
  </si>
  <si>
    <t>TOTAL FONDO DEPARTAMENTAL DE SALUD - SECRETARIA DE SALUD</t>
  </si>
  <si>
    <t>Apoyar la Consolidación del corredor tecnológico agroindustrial como un centro de promoción de la innovación para el sector agropecuario, durante el período de Gobierno.</t>
  </si>
  <si>
    <t>Otorgar tres (3) premios al fomento de la innovación y desarrollo tecnológico de los cundinamarqueses destacados en CTeI, durante el período de Gobierno.</t>
  </si>
  <si>
    <t>MODELO</t>
  </si>
  <si>
    <t>SUBPROGRAMA - DINAMICA FAMILIAR</t>
  </si>
  <si>
    <t>A.1.2.10.2</t>
  </si>
  <si>
    <t>SUBPROGRAMA - ACCESO Y FORTALECIMIENTO DE LA JUSTICIA</t>
  </si>
  <si>
    <t>PROYECTO - APOYO A LA REALIZACION DE EVENTOS CULTURALES Y ARTISTICOS  EN EL DEPARTAMENTO DE CUNDINAMARCA</t>
  </si>
  <si>
    <t>Apoyar  en el cuatrienio a 2.000 personas con discapacidad, familias y/o cuidadores con ingresos, por empleo, proyectos productivos</t>
  </si>
  <si>
    <t>Resultado</t>
  </si>
  <si>
    <t>PROYECTO - DESARROLLO DE  ESTRATEGIAS ECONOMICAS PARA  LOS AFILIADOS  DE  CORPORACION SOCIAL DE  CUNDINAMARCA</t>
  </si>
  <si>
    <t>Promover anualmente integración familiar con de 2.000 personas VCA en eventos recreativos.</t>
  </si>
  <si>
    <t>PROYECTO - IMPLEMENTACIÓN DE LA RED DE TELESALUD (TELEMEDICINA Y TELEEDUCACIÓN) EN EL DEPARTAMENTO DE CUNDINAMARCA</t>
  </si>
  <si>
    <t>PROYECTO - APOYO A LA CONSTRUCCION Y/O ADQUISICIÓN DE VIVIENDA RURAL EN LOS 116 MUNICIPIOS DEPARTAMENTO DE CUNDINAMARCA</t>
  </si>
  <si>
    <t>UNIVERSIDAD DE CUNDINAMARCA</t>
  </si>
  <si>
    <t>A.3.12.3</t>
  </si>
  <si>
    <t>Crear e implementar un Fondo Capital Semilla al servicio del emprendimiento de Cundinamarca, en el período de gobierno.</t>
  </si>
  <si>
    <t>Implementar un programa para aprovechamiento de los TLC`S y demás acuerdos internacionales para el Departamento, durante el periodo de gobierno</t>
  </si>
  <si>
    <t>PROYECTO - APOYO A LA GESTIÓN ESTRATEGICA PARA LA MITIGACIÓN Y ADAPTACIÓN AL CAMBIO Y VARIABILIDAD CLIMÁTICA EN EL DEPARTAMENTO DE CUNDINAMARCA</t>
  </si>
  <si>
    <t>PROYECTO - FORTALECIMIENTO DE LA FISCALIZACION  DEPARTAMENTO DE CUNDINAMARCA</t>
  </si>
  <si>
    <t>SUBPROGRAMA - INNOVACION SOCIAL</t>
  </si>
  <si>
    <t>Incrementar cobertura agua potable a 202.000 habitantes nuevos con calidad y continuidad en zonas urbanas, rurales y centros poblados durante el periodo de gobierno.</t>
  </si>
  <si>
    <t>PROYECTO - ASISTENCIA Y FORTALECIMIENTO DE CODEPS  Y COMPOS EN EL  DEPARTAMENTO DE CUNDINAMARCA</t>
  </si>
  <si>
    <t>SUBPROGRAMA - CIUDADANÍA</t>
  </si>
  <si>
    <t>SUBPROGRAMA - MEJORAMIENTO DEL SERVICIO</t>
  </si>
  <si>
    <t>A.12.19</t>
  </si>
  <si>
    <t>04</t>
  </si>
  <si>
    <t>MUNICIPIOS</t>
  </si>
  <si>
    <t>SUBPROGRAMA - INFRAESTRUCTURA PARA LA MOVILIDAD</t>
  </si>
  <si>
    <t>SUBPROGRAMA - INFRAESTRUCTURA SOCIAL</t>
  </si>
  <si>
    <t>Garantizar anualmente el pago del 100%  de la nómina de pensionados y sustitutos del magisterio del departamento de cundinamarca</t>
  </si>
  <si>
    <t xml:space="preserve">Apoyar  el 20% de los productores agropecuarios que resulten afectados por emergencias y desastres, durante el periodo gobierno, para reactivar su actividad productiva </t>
  </si>
  <si>
    <t>PROGRAMA - CUNDINAMARCA DINÁMICA  ATRACTIVA E INTERNACIONAL</t>
  </si>
  <si>
    <t>Institucionalizar e implementar en el cuatrenio una Escuela de Formación y capacitación de mujeres en Liderazgo, política y Género en el Departamento, de acuerdo a la Ordenanza 99 de 2011</t>
  </si>
  <si>
    <t xml:space="preserve">Reducir en un 20% la frecuencia de los delitos que atenten la seguridad ciudadana y  democrática, en el departamento durante el periodo de gobierno. </t>
  </si>
  <si>
    <t>Incluir en el Cuatrienio a 400 familias y/o cuidadores en dinamicas sociales, ludicas, comunitarias y con herramientas para el manejo de la discapacidad e integraci•n familiar.</t>
  </si>
  <si>
    <t>Establecer 700 hectáreas de plantaciones forestales para la recuperación de bosque natural en el cuatrienio</t>
  </si>
  <si>
    <t>Fortalecer 4 destinos turísticos con potencialidad regional, nacional e internacional</t>
  </si>
  <si>
    <t>A.13.6</t>
  </si>
  <si>
    <t>MILLONES DE DOLARES</t>
  </si>
  <si>
    <t>PROGRAMA - VEJEZ DIVINO TESORO</t>
  </si>
  <si>
    <t>Garantizar mejores AMBIENTEs en el 100% de las instituciones educativas de los municipios no certificados a través de la prestación de los servicios públicos de energía y acueducto</t>
  </si>
  <si>
    <t>1</t>
  </si>
  <si>
    <t xml:space="preserve">Apoyar a los 116 municipios para realizar mantenimiento periódico y/o rutinario durante los próximos cuatro años a 3,000 kms de la red terciaria  </t>
  </si>
  <si>
    <t>A.5.9</t>
  </si>
  <si>
    <t>Contribuír al fortalecimiento social y a la calidad de vida de 18.000 adultas y adultos mayores mediante la participación en encuentros deportivos autoctonos, olimpiadas departamentales ""vejez divino tesoro""</t>
  </si>
  <si>
    <t>TOTAL UNIDAD ADMINISTRATIVA ESPECIAL PARA LA PREVENCION DEL RIESGO Y LA ATENCION DE EMERGENCIAS</t>
  </si>
  <si>
    <t>Implementar en el cuatrienio la estrategia de protección al adolescente trabajador en el marco del plan departamental de erradicación del trabajo infantil</t>
  </si>
  <si>
    <t>TOTAL SECRETARIA JURIDICA</t>
  </si>
  <si>
    <t>MUJERES</t>
  </si>
  <si>
    <t>Mejorar en el cuatrienio el resultado de las pruebas SABER de grado 11° en 2 puntos en 6 de las áreas evaluadas</t>
  </si>
  <si>
    <t>A.4.1</t>
  </si>
  <si>
    <t>PROYECTO - FORTALECIMIENTO DEL CONTROL Y LA PARTICIPACION SOCIAL EN  LA GESTION Y LA INVERSION PUBLICA DEPARTAMENTO DE CUNDINAMARCA</t>
  </si>
  <si>
    <t>SUBPROGRAMA - INFRAESTRUTURA EN TIC</t>
  </si>
  <si>
    <t xml:space="preserve"> 3,8  calificación en capacidad de Gestión para Resultados de Desarrollo</t>
  </si>
  <si>
    <t>Promover el bienestar y la salud ocupacional con la participación del 80% de los funcionarios del sector central en los planes y programas que incentiven el mejoramiento de la calidad de vida de los mismos.</t>
  </si>
  <si>
    <t>ALUMNOS</t>
  </si>
  <si>
    <t>SUBPROGRAMA - DESARROLLO</t>
  </si>
  <si>
    <t>Disminuir el déficit de electrificación rural y urbana en un 2% de unidades familiares en el departamento.</t>
  </si>
  <si>
    <t>A.13.8</t>
  </si>
  <si>
    <t>gestion</t>
  </si>
  <si>
    <t>A.2.1.1</t>
  </si>
  <si>
    <t>A.1.1.2.1.1</t>
  </si>
  <si>
    <t>PROYECTO - CONSTRUCCIÓN ADECUACION Y MANTENIMIENTO DE INFRAESTRUCTURA RECREO-DEPORTIVA EN EL DEPARTAMENTO DE CUNDINAMARCA</t>
  </si>
  <si>
    <t>TOTAL CORPORACION SOCIAL DE CUNDINAMARCA</t>
  </si>
  <si>
    <t>Crear y poner en marcha un programa en los 5 nodos regionales para la generación de líderes innovadores y gestores de la CTeI del departamento, durante el período de Gobierno.</t>
  </si>
  <si>
    <t>PROGRAMA - AGUA POTABLE Y SANEAMIENTO BASICO PARA LA SALUD DE LOS CUNDINAMARQUESES</t>
  </si>
  <si>
    <t>A.13.2</t>
  </si>
  <si>
    <t xml:space="preserve">Incrementar en el cuatrienio en 25.000 familias, el derecho de habitar y disfrutar una vivienda nueva o mejorada, con prioridad en las familias de pobreza extrema </t>
  </si>
  <si>
    <t>KMTS</t>
  </si>
  <si>
    <t>RECORRIDOS</t>
  </si>
  <si>
    <t>CENTRO GESTOR - 1220</t>
  </si>
  <si>
    <t>SUBCUENTA - PRESTACIÓN DE SERVICIOS EN LO NO CUBIERTO CON SUBSIDIOS A LA DEMANDA</t>
  </si>
  <si>
    <t>PREDIOS</t>
  </si>
  <si>
    <t>SUBPROGRAMA - INFRAESTRUCTURA DE AGUA POTABLE Y SANEAMIENTO BÁSICO</t>
  </si>
  <si>
    <t>SECRETARIA DE DESARROLLO SOCIAL</t>
  </si>
  <si>
    <t>A.14.6.1</t>
  </si>
  <si>
    <t>SUBPROGRAMA - INVESTIGACION Y DESARROLLO</t>
  </si>
  <si>
    <t xml:space="preserve">Fortalecer 15 Provincias  en capacidad preventiva, operativa y de respuesta  ante emergencias y desastres,   durante el periodo de gobierno                                                                                           </t>
  </si>
  <si>
    <t>Atender integralmente a  500 adolescentes de escasos recursos, cada año, en los centros de protección de la Beneficencia de Cundinamarca</t>
  </si>
  <si>
    <t>% DE INSTITUCIONES</t>
  </si>
  <si>
    <t>Promover la participación activa de 12.800 niños y niñas menores de 6 años en eventos recreativos con la familia</t>
  </si>
  <si>
    <t>Apoyar en el cuatrienio a 5.000 familias urbanas, técnica y financieramente, a través de programas de construcción de vivienda nueva VIS y VIP y reubicación en conjunción con las demás entidades cooperantes del SNV.</t>
  </si>
  <si>
    <t>Garantizar mejores AMBIENTEs en el 100% de las instituciones educativas de los municipios no certificados a través de la prestación del servicio de aseo</t>
  </si>
  <si>
    <t>ACCIONES</t>
  </si>
  <si>
    <t xml:space="preserve">Mejorar la capacidad de respuesta al usuario con la Implementación de un sistema de atención durante el cuatrienio. </t>
  </si>
  <si>
    <t>PROYECTO - MANTENIMIENTO Y REHABILITACION DE LA RED DE CAMINOS HISTORICOS Y CONTEMPORANEOS EN EL DEPARTAMENTO DE CUNDINAMARCA</t>
  </si>
  <si>
    <t>SUBPROGRAMA - PROTECCIÓN Y ASEGURAMIENTO DEL RECURSO HÍDRICO</t>
  </si>
  <si>
    <t>PROYECTO - FORTALECIMIENTO DE LOS COROS MUSICALES MUNICIPALES DEL DEPARTAMENTO DE CUNDINAMARCA</t>
  </si>
  <si>
    <t>REDES</t>
  </si>
  <si>
    <t>PROYECTO - INCREMENTO DE LOS NIVELES DE INNOVACION DE PEQUEÑAS Y MEDIANAS EMPRESAS EN EL DEPARTAMENTO DE CUNDINAMARCA</t>
  </si>
  <si>
    <t>PROYECTO - FORTALECIMIENTO INTEGRAL A LA GESTION TERRITORIAL  DEL  DEPARTAMENTO Y LOS 116 MUNICIPIOS DE CUNDINAMARCA</t>
  </si>
  <si>
    <t>Promover en 35.000 niñas y niños en el cuatrienio el juego y la actividad física a través de la matrogimnasia</t>
  </si>
  <si>
    <t xml:space="preserve">Incrementar en el cuatrienio el índice de captación de los pacientes sintomáticos  de piel y sistema nervioso periférico a 1 por cada 1.000 habitantes, </t>
  </si>
  <si>
    <t>FONDO DE  GESTION DEL RIESGO DE DESASTRES DEL DEPARTAMENTO DE CUNDINAMARCA</t>
  </si>
  <si>
    <t>SUBPROGRAMA - ACCESO A LA TIERRA RURAL</t>
  </si>
  <si>
    <t>PROGRAMA - MODERNIZACIÓN DE LA GESTIÓN</t>
  </si>
  <si>
    <t>TASA X MIL NACIDOS VIVOS</t>
  </si>
  <si>
    <t>Contribuir técnica y financieramente durante el cuatrienio para que 3.000 familias accedan a viviendas nuevas rurales (VISR) y reubicación, a través de programas de construcción  en conjunción con las demás entidades cooperantes del SNV</t>
  </si>
  <si>
    <t>UNIDAD</t>
  </si>
  <si>
    <t>Atender durante el cuatrienio 3.000 estudiantes en situación de desplazamiento del sector oficial con subsidio de transporte escolar.</t>
  </si>
  <si>
    <t>116 municipios restituyen derechos y mejoran calidad de vida de las víctimas del conflicto armado</t>
  </si>
  <si>
    <t>A.5.3</t>
  </si>
  <si>
    <t>RECURSOS PROPIOS ESTABLECIMIENTOS PUBLICOS</t>
  </si>
  <si>
    <t>PROGRAMA - DESARROLLO COMPETITIVO DEL SECTOR AGROPECUARIO</t>
  </si>
  <si>
    <t>VEEDURIAS</t>
  </si>
  <si>
    <t>Lograr que el 19%  de los municipios del Departamento  (22), con más baja calificación, mejoren en el índice de desempeño fiscal nacional</t>
  </si>
  <si>
    <t>Alfabetizar y elevar el nivel educativo a  6.206 adultos y adultas, durante el cuatrienio, con prioridad en la población en extrema pobreza.</t>
  </si>
  <si>
    <t>CAMPAÑA</t>
  </si>
  <si>
    <t>% DE DOCENTES</t>
  </si>
  <si>
    <t>PROYECTO - INCREMENTO A LA COBERTURA Y ATENCIÓN INTEGRAL A LA PRIMERA INFANCIA DEPARTAMENTO DE CUNDINAMARCA</t>
  </si>
  <si>
    <t>Apoyar  en ela cuatrienio a 8.000 familias rurales, técnica y financieramente, a través de programas de mejoramiento de vivienda,  en conjunción con las demás entidades cooperantes del SNV. con prioridad en las familias de pobreza extrema</t>
  </si>
  <si>
    <t>Sistema General de Participaciones Patronal - Salud (SSF)</t>
  </si>
  <si>
    <t>Información para la toma de decisiones disponible y confiable en cualquier momento a través de una plataforma tecnológica</t>
  </si>
  <si>
    <t xml:space="preserve">Generar capacidades de liderazgo, formación política y emprendimiento durante el cuatrienio a 400  jóvenes </t>
  </si>
  <si>
    <t>Apoyar el desarrollo integral a través de procesos de formación artística y cultural de las y los adultos en  5 municipios anualmente</t>
  </si>
  <si>
    <t>Fortalecer las finanzas del departamento con la Disminución al 15%  durante el periodo 2012 al 2016 el valor dejado de percibir por contrabando, adulteración, falsificación, evasión y  elusión de impuestos departamentales con respecto a la Nación.</t>
  </si>
  <si>
    <t>CENTRO GESTOR - 1151</t>
  </si>
  <si>
    <t>TASA RECUPERACION IMPUESTO DE REGISTRO</t>
  </si>
  <si>
    <t xml:space="preserve">Estampilla pro-desarrollo Universidad de Cundinamarca -UDEC                        </t>
  </si>
  <si>
    <t>SUBPROGRAMA - ESTRATEGIAS PARA EL FORTALECIMIENTO DE LA GESTIÓN INTEGRAL</t>
  </si>
  <si>
    <t>SUBPROGRAMA - ETNIAS</t>
  </si>
  <si>
    <t>OBJETIVO  - COMPETITIVIDAD, INNOVACIÓN, MOVILIDAD Y REGIÓN</t>
  </si>
  <si>
    <t>A.1.1.1.1</t>
  </si>
  <si>
    <t>Fomentar la cultura patrimonial con 24 eventos  intergeneracionales, provinciales, interdepartamentales, e internacionales, de promoción, intercambio, y/o representación histórica, turística  y cultural durante el cuatrienio.</t>
  </si>
  <si>
    <t>Fomentar el empleo y emprendimiento en 100% de la población económicamente activa, víctima del conflicto armado con procesos de convocatoria competencias laborales, capacitación, creación de empresa.</t>
  </si>
  <si>
    <t>A.14.9</t>
  </si>
  <si>
    <t>Conformar una Red de Memoria Histórica Cultural y gestión patrimonial durante el periodo de gobierno (inventarios, planes, entre otros)</t>
  </si>
  <si>
    <t>PROGRAMA - INICIO PAREJO DE LA VIDA</t>
  </si>
  <si>
    <t>Promover la Participación cada año de 2500 personas, Víctimas del Conflicto Armado en eventos recreativos para Adultas y Adultos mayores</t>
  </si>
  <si>
    <t>45.000 familias mejoran su convivencia por medio de la intervención del programa  ""deporte, convivencia y paz""</t>
  </si>
  <si>
    <t>Realizar durante el período de gobierno, la señalización horizontal y vertical de 400 km de la red vial departamental</t>
  </si>
  <si>
    <t>Reducir en 50  el número de toneladas de residuos sólidos diarias que van a sitios de disposición final en el Departamento.</t>
  </si>
  <si>
    <t>CENTRO GESTOR - 1205</t>
  </si>
  <si>
    <t>Fortalecer  las 3 principales cadenas productivas pecuarias (Bovina Carne, Láctea, Porcícola) en el periodo de gobierno</t>
  </si>
  <si>
    <t>PROYECTO - AMPLIACIÓN DE LA COBERTURA Y OPTIMIZACION DE LA PRESTACION DEL SERVCIO DE ENERGIA ELECTRICA Y ENERGIAS ALTERNATIVAS EN LA ZONA RURAL Y URBANA DEL DEPARTAMENTO DE CUNDINAMARCA</t>
  </si>
  <si>
    <t>Crear y/o fortalecer 1 Asociación de recicladores y/o recuperadores  en Cundinamarca, para promover la productividad de los residuos sólidos en el Departamento en el periodo de gobierno.</t>
  </si>
  <si>
    <t>Formar a 6000  funcionarios municipales y sociedad civil en destrezas y habilidades  para la gestión integral durante el período de gobierno.</t>
  </si>
  <si>
    <t>Prestar un mejor servicio a la comunidad con el mejoramiento, adecuación, mantenimiento y/o adquisición de 10 bienes del y para el Departamento durante el cuatrienio.</t>
  </si>
  <si>
    <t xml:space="preserve">Pavimentar y/o rehabilitar durante el periodo de gobierno 250 Kms de la red vial de segundo Orden </t>
  </si>
  <si>
    <t>Contribuir al desarrollo personal y la convivencia a través de la participación de 9.600 jóvenes durante el cuatrienio en actividades de cooperación al aire libre con técnicas campamentiles juveniles</t>
  </si>
  <si>
    <t>Apoyar el proceso formativo  de habilidades lectoras de los  niños y niñas de 6 a 11 años con el fortalecimiento de 92 bibliotecas públicas municipales en el cuatrienio</t>
  </si>
  <si>
    <t>GRANJAS</t>
  </si>
  <si>
    <t>COMUNIDADES</t>
  </si>
  <si>
    <t>Fomentar habilidades y destrezas con actividades lúdicas, culturales y deportivas en el 35% de los niños y niñas de 6 a 11 años</t>
  </si>
  <si>
    <t>SECRETARIA DE PLANEACION</t>
  </si>
  <si>
    <t>PROGRAMA - VIVE Y CRECE ADOLESCENCIA</t>
  </si>
  <si>
    <t>Realizar durante el cuatrienio 20 Eventos Promocionales del Destino Cundinamarca: Viajes de Familiarización (FAM TRIPïs), Ruedas de Negocios, Ferias y Vitrinas Turísticas, entre otros.</t>
  </si>
  <si>
    <t>A.5.5</t>
  </si>
  <si>
    <t>PROYECTO - APOYO A MAYORES OPORTUNIDADES DE ACCESO A LA EDUCACIÓN TÉCNICA, TECNOLÓGICA Y SUPERIOR  DEPARTAMENTO DE CUNDINAMARCA</t>
  </si>
  <si>
    <t>CONCEPTO</t>
  </si>
  <si>
    <t>A.1.2.2</t>
  </si>
  <si>
    <t>Monitorear  2  Zonas críticas con información oportuna y seguimiento permanente,  durante el periodo de gobierno, para generar medidas de prevención.</t>
  </si>
  <si>
    <t>Facilitar la comunicación entre la sede administrativa y las instituciones públicas de los 116 municipios, llevando los servicios de mensajería instantánea, video llamada y telefonía durante el periodo de gobierno.</t>
  </si>
  <si>
    <t>PROYECTO - FORTALECIMIENTO INTEGRAL A LAS MUJERES , JOVENES Y ETNIAS  RURALES  DE LOS  MUNICIPIOS DE CUNDINAMARCA</t>
  </si>
  <si>
    <t>Fomentar habilidades y destrezas con actividades lúdicas y culturales en el 15% de los niños y niñas de primera infancia cada año</t>
  </si>
  <si>
    <t>VIVIENDAS</t>
  </si>
  <si>
    <t>CENTRO GESTOR - 1197</t>
  </si>
  <si>
    <t>Contribuir al desarrollo sicomotriz y social de los niños fortaleciendo en el cuatrienio la operación de 160 ludotecas con AMBIENTE e implementos adecuados para las y los niños de 6 a 11 años</t>
  </si>
  <si>
    <t>SUBPROGRAMA - PERSONAS EN CONDICIÓN DE DISCAPACIDAD</t>
  </si>
  <si>
    <t>A.13.4</t>
  </si>
  <si>
    <t>6 comunidades pertenecientes a grupos etnicos fortalecidas y asesoradas en gestion, autodeterminacion, productividad, intitucionalidad y liderazgo.</t>
  </si>
  <si>
    <t>Formular un (1) Modelo de Ocupación Territorial Integral y  las Directrices y Orientaciones para el Ordenamiento del Territorio del Departamento de Cundinamarca y su incorporación en los POT, en el cuatrienio.</t>
  </si>
  <si>
    <t>3</t>
  </si>
  <si>
    <t>6 eventos conmemorativos de la diversidad etnica realizados</t>
  </si>
  <si>
    <t>SUBPROGRAMA - SEGUIMIENTO Y  EVALUACIÓN PARA EL MEJORAMIENTO DE LA GESTIÓN PÚBLICA</t>
  </si>
  <si>
    <t>Formar en competencias laborales durante el período de gobierno, con 15 programas permanentes acordes con las vocaciones territoriales.</t>
  </si>
  <si>
    <t>SUBPROGRAMA - CUNDINAMARCA GENERADORA DE CONOCIMIENTO Y CONCIENCIA FORESTAL PARA EL PRESENTE Y EL FUTURO</t>
  </si>
  <si>
    <t>Fortalecer durante el cuatrienio a 1.500 personas vinculadas con la actividad turística en Cundinamarca, en Gestión Turística con procesos de formación</t>
  </si>
  <si>
    <t>TOTAL INSTITUTO DEPARTAMENTAL DE ACCION COMUNAL Y PARTICIPACION CIUDADANA</t>
  </si>
  <si>
    <t>SUBPROGRAMA - DESARROLLO INTEGRAL DE LA MUJER</t>
  </si>
  <si>
    <t>SECRETARIA JURIDICA</t>
  </si>
  <si>
    <t>Aumentar el cumplimiento  del Sistema Obligatorio de Garantía de la Calidad en el 100% de las Empresas Sociales del Estado.</t>
  </si>
  <si>
    <t>FUNCIONARIOS</t>
  </si>
  <si>
    <t>Apoyar el proceso formativo de las y los adultos  con el fortalecimiento de 100 bibliotecas públicas municipales en el cuatrienio</t>
  </si>
  <si>
    <t>Fortalecer el 25% de la infraestructura de procesamiento de datos y pasar del 30% al 65% de la infraestructura computacional del nivel central del Departamento actualizada y soportada, para el desarrollo basado en herramientas tecnológicas durante el periodo de gobierno</t>
  </si>
  <si>
    <t>Mantener en el cuatrienio las acciones de promoción y prevención en vacunación al 100% de las personas Víctimas del Conflicto Armado identificadas.</t>
  </si>
  <si>
    <t>Desarrollar tres (3) instrumentos de planificación agropecuaria implementados y socializados (Uso actual del Suelo - Conflicto por uso del suelo y Zonificación de Cadenas productivas) en el periodo de gobierno</t>
  </si>
  <si>
    <t>Fortalecer la capacidad institucional con la Implementación 4 unidades de apoyo a la gestión territorial</t>
  </si>
  <si>
    <t>Articular en el cuatrienio 30 instituciones educativas con instituciones de educación superior que brinden educación técnica, tecnológica, profesional y para el trabajo y el desarrollo humano, a estudiantes de los grados 10ø y 11ø en jornada complementaria y/o los sábados</t>
  </si>
  <si>
    <t>SUBPROGRAMA - PROTECCIÓN</t>
  </si>
  <si>
    <t>PUNTOS PORCENTUALES</t>
  </si>
  <si>
    <t>PROYECTO - CAPACITACIÓN BIENESTAR E INCENTIVOS DE LOS SERVIDORES PUBLICOS DE LA BENEFICENCIA  DE CUNDINAMARCA</t>
  </si>
  <si>
    <t>Formular y ejecutar dos (2) planes estratégicos en Ciencia, Tecnología e innovación para Cundinamarca y la región Bogotá-Cundinamarca, durante el período de Gobierno</t>
  </si>
  <si>
    <t>KMT</t>
  </si>
  <si>
    <t>A.14.4.4.2</t>
  </si>
  <si>
    <t>Fomentar la tradición, la cultura y las artes con eventos artísticos y culturales en 90 municipios cada año</t>
  </si>
  <si>
    <t>promover la actividad física en los establecimientos educativos a 12,180 niños y niñas con le programa ""SUPERATE""</t>
  </si>
  <si>
    <t>Adecuar y/o rehabilitar 2025 hectáreas mediante la construcción de distritos de riego y drenaje en el periodo de gobierno.</t>
  </si>
  <si>
    <t>PROYECTO - HABILITACIÓN FUNCIONAMIENTO MANTENIMIENTO Y OPERACIÓN DE LOS CORREDORES FERREOS Y SUS ANEXIDADES  A CARGO DEL DEPARTAMENTO DE CUNDINAMARCA</t>
  </si>
  <si>
    <t>EVENTOS</t>
  </si>
  <si>
    <t>06</t>
  </si>
  <si>
    <t>PROYECTO - CONSTRUCCIÓN MEJORAMIENTO REHABILITACION Y PAVIMENTACION DE LA RED VIAL  URBANA  LOCALIZADA EN LOS 116 MUNICIPIOS DEL DEPARTAMENTO DE CUNDINAMARCA</t>
  </si>
  <si>
    <t xml:space="preserve">IVA Telefonia Movil (Deportes)                            </t>
  </si>
  <si>
    <t>CENTRO GESTOR - 1117</t>
  </si>
  <si>
    <t>Mejorar en el cuatrienio el funcionamiento del 25% de los modelos flexibles de aprendizaje para adolescentes en las zonas rurales (postprimaria, telesecundaria, media rural y escuela y café)</t>
  </si>
  <si>
    <t>RED DE COMUNICACIÓN</t>
  </si>
  <si>
    <t xml:space="preserve">30.000 familias mas sanas y fuertes con acompañamiento institucional, familiar y comunitario </t>
  </si>
  <si>
    <t>PROGRAMA - EQUIPAMIENTO SOCIAL PARA EL DESARROLLO INTEGRAL</t>
  </si>
  <si>
    <t>PROYECTO - FORTALECIMIENTO DEL PROGRAMA VIVE CUNDINAMARCA</t>
  </si>
  <si>
    <t>Apoyar 10 iniciativas de participación ciudadana de jóvenes en el cuatrienio</t>
  </si>
  <si>
    <t>TOTAL SECRETARIA DE GOBIERNO</t>
  </si>
  <si>
    <t xml:space="preserve">Gestionar durante el periodo de gobierno 2.000 créditos para el fortalecimiento de las MIPYMES a través de entidades de recaudo, banca de oportunidades, microcrédito, fondos de garantía </t>
  </si>
  <si>
    <t>Desarrollar y fortalecer, durante el periodo de gobierno,  3 redes empresariales con enfoque de clúster en sectores productivos priorizados en el Departamento.</t>
  </si>
  <si>
    <t>SUBPROGRAMA - FORTALECIMIENTO DE LA GESTIÓN</t>
  </si>
  <si>
    <t>SUBPROGRAMA - PRODUCTIVIDAD Y COMPETITIVIDAD</t>
  </si>
  <si>
    <t>CENTRO GESTOR - 1119</t>
  </si>
  <si>
    <t>PROMOCIONES</t>
  </si>
  <si>
    <t>PROYECTO - ESTUDIOS Y DISEÑOS PARA LA EJECUCION DE OBRAS FISICAS EN LOS CENTROS DE PROTECCION DE LA  BENEFICENCIA DE CUNDINAMARCA</t>
  </si>
  <si>
    <t>PROYECTO - ADQUISICIÓN MAQUINARIA Y EQUIPO AGROPECUARIO Y AGROINDUSTRIAL PARA LA MODERNIZACION DEL SECTOR DEPARTAMENTO DE CUNDINAMARCA</t>
  </si>
  <si>
    <t>Aumentar durante el ciatrienio al 100% de los municipios la cobertura de los programas en salud para la población en condicion de discapacidad (centros de vida sensorial, ayudas técnicas y/o  rehabilitación basada en comunidad)</t>
  </si>
  <si>
    <t>Crear e implementar durante el cuatrienio en 15 instituciones educativas oficiales nuevas unidades productivas  para formación y transferencia, con componentes de investigación en CT&amp;I,  orientadas a solucionar problemáticas identificadas en cadenas productivas priorizadas por provincia.</t>
  </si>
  <si>
    <t>PROYECTO - APOYO AL FORTALECIMIENTO DE LAS INSTITUCIONES EDUCATIVAS OFICIALES DEPARTAMENTO DE  CUNDINAMARCA</t>
  </si>
  <si>
    <t>08</t>
  </si>
  <si>
    <t>Ejecutar durante el cuatrienio en el 100% de los municipios definidos por el programa de la Vicepresidencia de la República, plan estratégico, en contra de minas antipersonal y municiones de guerra abandonadas sin explotar.</t>
  </si>
  <si>
    <t>Promover la práctica del deporte escolar en las sedes de básica primaria de los municipios con la participación de 24.000 niños y niñas cada año en festivales escolares</t>
  </si>
  <si>
    <t>A.3.12.1</t>
  </si>
  <si>
    <t>Al finalizar el período de gobierno, el Departamento de Cundinamarca, alcanzará exportaciones por un valor de 2.500 millones de dólares.</t>
  </si>
  <si>
    <t>Mejorar las condiciones de las entidades que prestan servicio a la justicia, apoyando la dotación, construcción, y/o adecuación de 4 centros administradores.</t>
  </si>
  <si>
    <t>A.2.6.2</t>
  </si>
  <si>
    <t>Lograr adolescentes mas saludables con la implementación en el cuatrienio de un programa integral de estilos de vida saludable  a nivel comunitario en el 64% de los municipios.</t>
  </si>
  <si>
    <t>FONDO SOCIAL Y DE REACTIVACION DEL SECTOR AGROPECUARIO</t>
  </si>
  <si>
    <t>PROYECTO - APOYO INTEGRAL PARA LA GARANTIA DE LOS DERECHOS A LOS INFANTES Y ADOLESCENTES CUNDINAMARCA AL TAMAÑO DE LOS NIÑOS NIÑAS Y ADOLESCENTES  EN EL DEPARTAMENTO DE CUNDINAMARCA</t>
  </si>
  <si>
    <t>Desarrollar e implementar nueve Unidades Básicas de Atención al Minero, como estrategia asistencia técnica preventiva y seguimiento al cumplimiento normativo y productivo del sector. Durante el periodo 2012-2016.</t>
  </si>
  <si>
    <t>Cundinamarqueses unidos en campaña departamental por año para la prevención del maltrato y/o abuso sexual en niños y niñas menores de 6 años</t>
  </si>
  <si>
    <t>PROGRAMA - TERRITORIO SOPORTE PARA EL DESARROLLO</t>
  </si>
  <si>
    <t>A.1.5.3</t>
  </si>
  <si>
    <t xml:space="preserve">Incrementar  el área de Plantaciones Forestales Productivas a 10.132 Hectáreas en el periodo de gobierno. </t>
  </si>
  <si>
    <t>AGRUPACIONES</t>
  </si>
  <si>
    <t>A.2.4</t>
  </si>
  <si>
    <t>PROYECTO - AMPLIACIÓN COBERTURA ESPECIALMENTE EN PREESCOLAR Y MEDIA DEPARTAMENTO DE CUNDINAMARCA</t>
  </si>
  <si>
    <t>PROYECTO - FORTALECIMIENTO ADQUISICION, MANTENIMIENTO Y/O  ADECUACION DE BIENES INMUEBLES EN APOYO A  LOS PROYECTOS Y ACTIVIDADES EN BENEFICIO DE LA POBLACION CUNDINAMARQUESA  116 MUNICIPIOS DE CUNDINAMARCA</t>
  </si>
  <si>
    <t>Promover la actividad física en los establecimientos educativos a 17,400 adolescentes con le programa ""SUPERATE""</t>
  </si>
  <si>
    <t>CENTRO GESTOR - 1113</t>
  </si>
  <si>
    <t>CENTRO GESTOR - 1207</t>
  </si>
  <si>
    <t>Contribuir a la vida digna de 6.600 familias urbanas y rurales, con prioridad en las de pobreza extrema, para que habiten viviendas con Pisos Antibacteriales</t>
  </si>
  <si>
    <t>SUBPROGRAMA - EQUIDAD Y GENERO</t>
  </si>
  <si>
    <t>MPIOS</t>
  </si>
  <si>
    <t>02</t>
  </si>
  <si>
    <t>Apoyar durante el periodo de gobierno a 116 Municipios con maquinaria para el mantenimiento de la red vial</t>
  </si>
  <si>
    <t>PROYECTO - FORTALECIMIENTO E INNOVACION DE LA INFRAESTRUCTURA TECNOLOGICA Y DE LOS SISTEMAS DE INFORMACION DE LA  BENEFICENCIA DE CUNDINAMARCA</t>
  </si>
  <si>
    <t>SUBPROGRAMA - TLC´S  Y ACUERDOS INTERNACIONALES</t>
  </si>
  <si>
    <t>Lograr que los niños y niñas menores de 6 años influyan en las decisiones del consejo de política social departamental como voceros de los niños organizados, asistiendo al 100% de las reuniones</t>
  </si>
  <si>
    <t>AMBULANCIAS</t>
  </si>
  <si>
    <t>A.15.3</t>
  </si>
  <si>
    <t>PROYECTO - CONSTRUCCIÓN DE ENTORNOS AMABLES EN COMUNIDAD  EN EL DEPARTAMENTO DE CUNDINAMARCA</t>
  </si>
  <si>
    <t>Atender durante el cuatrienio al 100% de los niños y niñas menores de cinco años en riesgo de desnutrición Víctimas del Conflicto Armado, focalizados y priorizados a través de la Red Unidos.</t>
  </si>
  <si>
    <t>ESTUDIANTES</t>
  </si>
  <si>
    <t>A.3.12.5</t>
  </si>
  <si>
    <t>UNIDADES</t>
  </si>
  <si>
    <t>Activar durante el cuatrienio 116 rutas de protección</t>
  </si>
  <si>
    <t>A.12.8</t>
  </si>
  <si>
    <t>Mantener atención de emergencia en salud al 100% de las emergencias y desastres del departamento, en el cuatrienio.</t>
  </si>
  <si>
    <t xml:space="preserve">Apoyar 90 proyectos productivos  de familias beneficiadas por las convocatorias de acceso a tierra en el periodo de gobierno. </t>
  </si>
  <si>
    <t>A.14.3.4.2</t>
  </si>
  <si>
    <t>Atender durante el cuatrienio al 100% de las VCA que soliciten a través del CTJT mercados y kit de aseo.</t>
  </si>
  <si>
    <t>Avanzar durante el cuatrienio en la restitución, legalización y titulación de predios del 100% de la población víctima de conflicto armado que lo requiera.</t>
  </si>
  <si>
    <t>CORPORACION SOCIAL DE CUNDINAMARCA</t>
  </si>
  <si>
    <t>TOTAL SECRETARIA DE PLANEACION</t>
  </si>
  <si>
    <t>POT</t>
  </si>
  <si>
    <t>PROYECTO - IMPLEMENTACIÓN PARA  EL USO DE LAS TIC EN LAS PRÁCTICAS PEDAGÓGICAS DE GESTIÓN ESCOLAR Y COMUNITARIA INSTITUCIONES EDUCATIVAS OFICIALES DEPARTAMENTO DE CUNDINAMARCA</t>
  </si>
  <si>
    <t xml:space="preserve">Formar durante el cuatrienio 40 orientadores turísticos bilinges a nivel (B1) </t>
  </si>
  <si>
    <t>A.5.1</t>
  </si>
  <si>
    <t>PROYECTO - FORTALECIMIENTO A LOS PROCESOS DE AGROINDUSTRIA, COMERCIALIZACION, FERIAS Y EVENTOS DE PROMOCION DE PRODUCTOS DEL  DEPARTAMENTO DE CUNDINAMARCA</t>
  </si>
  <si>
    <t xml:space="preserve">Multas por infraccion y revision                           </t>
  </si>
  <si>
    <t>FAMILIAS</t>
  </si>
  <si>
    <t>RENDICION DE CUENTAS DE VCA</t>
  </si>
  <si>
    <t>TOTAL SECRETARIA DE COMPETITIVIDAD Y DESARROLLO ECONOMICO</t>
  </si>
  <si>
    <t>Atender en el cuatrienio a 21,000 familias de la red unidos con sinergia de sectores</t>
  </si>
  <si>
    <t>PROYECTO - FORTALECIMIENTO DE LA GESTIÓN INSTITUCIONAL Y TEMÁTICA DEL PROCESO DE INTEGRACIÓN REGIONAL EN LA REGIÓN CAPITAL BOGOTÁ - CUNDINAMARCA</t>
  </si>
  <si>
    <t>Promocionar el proyecto de actividad física a 17.863 adultos y adultas mayores para mejorar losestilos de vida saludable para la comunidad del departamento</t>
  </si>
  <si>
    <t>SPG Plan Departamental de Aguas</t>
  </si>
  <si>
    <t>Implementar y fortalecer procesos de desarrollo económico local - DEL -  en 35 municipios (NBI), durante el periodo de gobierno.</t>
  </si>
  <si>
    <t>Lograr adultas y adultos mayores mas saludables con la implementación en el cuatrienio de un programa integral de estilos de vida saludable  a nivel comunitario en el 100% de los municipios</t>
  </si>
  <si>
    <t>Fortalecer el 100% de las organizaciones de mujeres existentes en el departamento</t>
  </si>
  <si>
    <t>PORCENTAJE DE INSTANCIAS</t>
  </si>
  <si>
    <t>Realizar 20 brigadas de servicio social con comunidades, acción humanitaria y operaciones estratégicas  en los municipios del departamento, durante el periodo de gobierno</t>
  </si>
  <si>
    <t>Ampliar los espacios de gestión para el desarrollo del Departamento, con la suscripción, implementación y monitoreo de 8 (ocho) acuerdos de cooperación internacional y/o nacional, durante el periodo de Gobierno.</t>
  </si>
  <si>
    <t xml:space="preserve">Aumentar en las  40 Entidades prestadoras de servicios de salud de carácter público Departamental,  en el periodo de gobierno, la capacidad de respuesta ante emergencias y desastres, mediante la implementación de los planes de emergencia y contingencia. </t>
  </si>
  <si>
    <t>A.14.6.3</t>
  </si>
  <si>
    <t>PLANES</t>
  </si>
  <si>
    <t>PROYECTO - APOYO A LA EDUCACION PRIMARIA,BÁSICA Y MEDIA, DESARROLLO DE HABILIDADES Y COMPETENCIAS INDIVIDUALES Y  COLECTIVAS DEPARTAMENTO DE CUNDINAMARCA</t>
  </si>
  <si>
    <t>CONVOCATORIAS</t>
  </si>
  <si>
    <t>Lograr en los 116 municipios entornos laborales saludables para las y los jóvenes con el fomento de la salud ocupacional prioritariamente en el sector minero, turismo y AGRICULTURA</t>
  </si>
  <si>
    <t>Lograr en el cuatrienio la permanencia de 221.817 adolescentes mediante estrategias como subsidio al transporte escolar, pasando de 62 a 90 días y alojamiento, entre otros.</t>
  </si>
  <si>
    <t>Implementar durante el período de gobierno Turismo comunitario con 1 corredor turístico intermunicipal en la Provincia del Tequendama y municipios aledaños</t>
  </si>
  <si>
    <t>PROYECTO - FORTALECIMIENTO DE CAPACIDADES Y COMPETENCIAS PARA LA INNOVACION RURAL EN CUNDINAMARCA</t>
  </si>
  <si>
    <t xml:space="preserve">Apoyar el desarrollo de 35 proyectos productivos, presentados y aprobados mediante convocatorias públicas, de los cuales 2 de ellos dirigidos a grupos étnicos,  en el periodo de gobierno. </t>
  </si>
  <si>
    <t>PROYECTO - IMPLEMENTACIÓN PROYECTOS PRODUCTIVOS PARA LA REINCORPORACION DE LA POBLACION VICTIMA DEL CONFLICTO AL SISTEMA PRODUCTIVO DEL DEPARTAMENTO DE CUNDINAMARCA</t>
  </si>
  <si>
    <t>PROGRAMA - JOVENES CONSTRUCTORES DE PAZ</t>
  </si>
  <si>
    <t>A.6.6</t>
  </si>
  <si>
    <t>SUBPROGRAMA - SUBREGIONAL</t>
  </si>
  <si>
    <t>Diseñar y poner en funcionamiento durante el cuatrienio una red de 13 puntos de información turística en Provincias y Municipios Turísticos de Cundinamarca.</t>
  </si>
  <si>
    <t>SECRETARIA DE TRANSPORTE Y MOVILIDAD</t>
  </si>
  <si>
    <t>Construir, mejorar, mantener y dotar 15 Casas de Gobierno con el objeto de que presten un buen servicio a la ciudadanía</t>
  </si>
  <si>
    <t xml:space="preserve">Brindar durante el cuatrienio atención humanitaria de emergencia  al 100%  de  las victimas del conflicto armado que lo soliciten a través de los CTJT municipales (gastos funerarios, alojamieto de emergencia,  transporte de VCA) </t>
  </si>
  <si>
    <t xml:space="preserve">Rehabilitar y/o mantener en buen estado durante el periodo de gobierno 6,000 M2 de la red de caminos históricos, coloniales y contemporáneas </t>
  </si>
  <si>
    <t xml:space="preserve">Apoyar la implementación de 2 proyectos  en el marco del Plan Regional Integral de Cambio Climático - PRICC,   durante el periodo de gobierno </t>
  </si>
  <si>
    <t>SUBPROGRAMA - BIENESTAR E INCENTIVOS</t>
  </si>
  <si>
    <t>PROYECTO - FORTALECIMIENTO A LA INVESTIGACION Y PROMOCION DEL DESARROLLO REGIONAL EN EL DEPARTAMENTO DE CUNDINAMARCA</t>
  </si>
  <si>
    <t>CENTRO GESTOR - 1125</t>
  </si>
  <si>
    <t xml:space="preserve">Alfabetizar y elevar el nivel educativo a  3.817 adultos y adultas mayores, durante el cuatrienio, con prioridad en la población en condición de extrema pobreza. </t>
  </si>
  <si>
    <t>NUEVAS VIVIENDAS CON SERVICIO DE ENERGIA</t>
  </si>
  <si>
    <t>A.18.4</t>
  </si>
  <si>
    <t>Fortalecer las capacidades de liderazgo y asociativismo y propender por el mejoramiento productivo y competitivo de 400 Mujeres y/o Jóvenes y/o Grupos étnicos rurales del Departamento, mediante la implementación de proyectos agropecuarios y/o agroindustriales en el periodo de gobierno.</t>
  </si>
  <si>
    <t>Apoyar, vincular al 100% de la población económicamente activa, víctima del conflicto armado que participe en la convocatoria en procesos de competencias laborales, capacitación, creación de empresa y empleabilidad. Con enfoque diferencial, afro descendientes, indígenas, mujeres y población Rrom.</t>
  </si>
  <si>
    <t>DOCENTES</t>
  </si>
  <si>
    <t>GRUPOS</t>
  </si>
  <si>
    <t>PROGRAMA - GESTION INTEGRAL DE RESIDUOS SOLIDOS</t>
  </si>
  <si>
    <t>Conformar, operar y desarrollar durante el cuatrienio una red departamental de comunicación popular juvenil</t>
  </si>
  <si>
    <t>Implementar un Sistema de observación de delincuencia con el propósito de mejorar la capacidad de reacción de las autoridades, que permita realizar un seguimiento y monitoreo a la situación de adolescentes infractores de la ley</t>
  </si>
  <si>
    <t>CENTRO GESTOR - 1214</t>
  </si>
  <si>
    <t>ESQUEMA</t>
  </si>
  <si>
    <t>COBERTURA</t>
  </si>
  <si>
    <t>A.1.7.2</t>
  </si>
  <si>
    <t>A.2.4.9</t>
  </si>
  <si>
    <t>Fortalecer tres entidades departamentales para mejorar su capacidad de atención a la comunidad y la prestación de servicios.</t>
  </si>
  <si>
    <t>PROYECTO - DESARROLLO INTEGRAL DE LA MUJER  EN CUNDINAMARCA</t>
  </si>
  <si>
    <t>PROYECTO - IMPLEMENTACIÓN PARA EL SEGUIMIENTO DE LA GESTION PUBLICA  EN EL DEPARTAMENTO DE CUNDINAMARCA</t>
  </si>
  <si>
    <t>Promover la participación de 2.000 y y las niñas y los niños Víctimas del Conflicto Armado en los festiovales Deportivos Escolares por año.</t>
  </si>
  <si>
    <t xml:space="preserve">IVA licores - Deportes                          </t>
  </si>
  <si>
    <t>Desarrollar 4 semanas de  la CTeI (las cuales incluirán olimpiadas y competencias), con participación de los 116 municipios del departamento, durante el período de Gobierno.</t>
  </si>
  <si>
    <t>Fortalecer durante el cuatrienio 4 CERES para que ofrezcan nuevos programas de formación en función del desarrollo potencial, personal, productivo y competitivo de los territorios.</t>
  </si>
  <si>
    <t>Garantizar la atención integral al 100% de las y los jóvenes víctimas y posibles víctimas de trata de personas que lo demanden</t>
  </si>
  <si>
    <t>Aumentar en el cuatrienio la mediana de lactancia materna exclusiva por encima de los 4.6 meses.</t>
  </si>
  <si>
    <t>PROYECTO - IMPLEMENTACIÓN DE UN SISTEMA PARA LOS PROCESOS DE GESTION DOCUMENTAL Y DE ARCHIVO DEPARTAMENTO DE CUNDINAMARCA</t>
  </si>
  <si>
    <t>A.9.17</t>
  </si>
  <si>
    <t>PROYECTO - APOYO A EVENTOS TURISTICOS ESPECIALES EN EL DEPARTAMENTO DE CUNDINAMARCA</t>
  </si>
  <si>
    <t>ORGANIZACIONES</t>
  </si>
  <si>
    <t>A.8.8</t>
  </si>
  <si>
    <t>Implementar durante el cuatrienio el plan departamental de erradicación del trabajo infantil en adolescentes</t>
  </si>
  <si>
    <t>PROGRAMA - CUNDINAMARCA CON ESPACIOS DE PARTICIPACION REAL</t>
  </si>
  <si>
    <t>PROCESOS</t>
  </si>
  <si>
    <t>PROYECTO - IMPLEMENTACIÓN DE UN PROGRAMA DE REFORESTACION Y FORESTACION  EN EL DEPARTAMENTO DE CUNDINAMARCA</t>
  </si>
  <si>
    <t>Implementar en 116 sedes de Instituciones educativas  públicas durante el cuatrienio la estrategia de ""Escuelas de calidad de vida"" en el marco de la transectorialidad.</t>
  </si>
  <si>
    <t>Implementar granjas integrales de auto abastecimiento pilotos en 15 Provincias en el periodo de gobierno.</t>
  </si>
  <si>
    <t>Sensibilizar en el cuatrienio a 2.000 personas en prevención del maltrato en adolescentes</t>
  </si>
  <si>
    <t>SUBPROGRAMA - VIVIENDA</t>
  </si>
  <si>
    <t>A.17.2</t>
  </si>
  <si>
    <t>TOTAL SECRETARÍA DE CIENCIA, TECNOLOGÍA E INNOVACION</t>
  </si>
  <si>
    <t>Beneficiar a 70.000 personas  de la zona rural, en el periodo de gobierno, con agua potable para mejorar las condiciones de salubridad de la población, especialmente la infantil.</t>
  </si>
  <si>
    <t xml:space="preserve">Conservar y/o recuperar ecosistemas lenticos en el periodo de gobierno  mediante la ejecución de 4 acciones  de mejoramiento ambiental. </t>
  </si>
  <si>
    <t>10% de mujeres con liderazgo y empoderamiento, potencializan habilidades y capacidades</t>
  </si>
  <si>
    <t>Garantizar el servicio a internet de calidad en 1800 instituciones públicas del Departamento, como instrumento necesario para el acceso a las TIC durante el periodo de gobierno.</t>
  </si>
  <si>
    <t>A.9.4</t>
  </si>
  <si>
    <t>Realizar 4 recorridos turísticos dirigidos a la PVCA con el objeto de aprovechar el uso del tiempo libre de la PVCA de los municipios de Soacha, La Palma y Viotá.</t>
  </si>
  <si>
    <t>TOTAL INSTITUTO PARA LA RECREACION Y EL DEPORTE DE CUNDINAMARCA</t>
  </si>
  <si>
    <t>Atender al 100% de la población en condición de desplazamiento de grupos étnicos en temas de prevención, protección, atención integral, acompañamiento integral a procesos de retorno y verdad, que lo soliciten.</t>
  </si>
  <si>
    <t>CENTRO GESTOR - 1104</t>
  </si>
  <si>
    <t>SUBPROGRAMA - GESTIÓN DEL DESTINO</t>
  </si>
  <si>
    <t>Apoyar durante el cuatrienio a 200 hogares Víctimas del Conflicto Armado en la adquisición de vivienda nueva o usada, construcción en sitio propio o mejoramiento de su vivienda.</t>
  </si>
  <si>
    <t>Promover el desarrollo de 2 proyectos de manejo integral de residuos sólidos mediante la conformación e implementación de la Mesa Departamental de Residuos Sólidos, instancia de concertación regional  de Cundinamarca en el periodo de gobierno.</t>
  </si>
  <si>
    <t>Establecer control a la disposición final de 1.400.000 ton. De residuos sólidos generados en el Departamento, mediante el seguimiento técnico, administrativo, financiero, jurídico y  socio ambiental  de la Concesión del Relleno Sanitario Nuevo Mondoñedo durante el periodo de gobierno.</t>
  </si>
  <si>
    <t>Diseñar e implementar 2 sistemas regionales de recolección y transporte en el Departamento  de manera coordinada entre el  Gestor del PDA y las entidades del nivel central, para la optimización de la Gestión Integral de residuos sólidos en el periodo de gobierno.</t>
  </si>
  <si>
    <t>Incrementar al 80% el grado de satisfacción de los clientes de la Gobernación de Cundinamarca</t>
  </si>
  <si>
    <t>% DE HOSPITALES</t>
  </si>
  <si>
    <t>A.8.2</t>
  </si>
  <si>
    <t>PROYECTO - FORTALECIMIENTO  DEL SERVICIO DE ASISTENCIA TECNICA Y TRANSFERENCIA DE TECNOLOGIA E INNOVACION E IMPLEMENTACION DE TECNOLOGIAS AGROPECUARIAS SOSTENIBLES  116 MUNICIPIOS DE CUNDINAMARCA</t>
  </si>
  <si>
    <t>SUBPROGRAMA - PROMOCIÓN Y CULTURA DE LA GESTIÓN INTEGRAL</t>
  </si>
  <si>
    <t>CONSEJOS</t>
  </si>
  <si>
    <t>Durante el cuatrienio certificar ante el ministerio de Educación Nacional 5 procesos de la Secretaria de Educación Departamental (gestión de calidad, calidad educativa, cobertura, talento humano y atención al ciudadano</t>
  </si>
  <si>
    <t>PROYECTO - CAPACITACIÓN DIRECTIVOS DOCENTES Y DOCENTES GESTORES DE UNA BUENA EDUCACION APOYADOS DESDE SU FORMACION INICIAL ACTUALIZACION Y PROFESIONALIZACION  DEPARTAMENTO DE CUNDINAMARCA</t>
  </si>
  <si>
    <t>PORCENTAJE DE MECANISMOS</t>
  </si>
  <si>
    <t>SUBPROGRAMA - SUPERACIÓN DE LA POBREZA</t>
  </si>
  <si>
    <t>PROYECTO - FORTALECIMIENTO Y DESARROLLO EMPRESARIAL EN EL  DEPARTAMENTO DE CUNDINAMARCA</t>
  </si>
  <si>
    <t>PROYECTO - FORTALECIMIENTO DE LA GESTION INTEGRAL DE RESIDUOS SOLIDOS  EN EL  DEPARTAMENTO DE CUNDINAMARCA</t>
  </si>
  <si>
    <t>Efectuar  durante el periodo de gobierno el pago de las garantías comerciales que se causen en los 3 contratos  de  concesión vigentes.</t>
  </si>
  <si>
    <t xml:space="preserve">3 corredores viales integran el territorio y mejoran la movilidad en el Departamento y la Región.
</t>
  </si>
  <si>
    <t>A.14.3.3</t>
  </si>
  <si>
    <t>Propiciar la participación e integración de 25.000 adultas y adultos anualmente en sana competencia deportiva en los juegos comunales</t>
  </si>
  <si>
    <t>Gestionar la expedición de la  libreta militar  para 2.000  jóvenes focalizados en la Red Unidos</t>
  </si>
  <si>
    <t>VIVEROS</t>
  </si>
  <si>
    <t>Incorporar durante el cuatrienio a 150 mujeres víctimas del conflicto y en condición de desplazamiento a financiación proyectos y sector productivo.</t>
  </si>
  <si>
    <t>A.2.4.3</t>
  </si>
  <si>
    <t>TONELADAS</t>
  </si>
  <si>
    <t>Crear el 100% de las instancias departamentales de mujer y género establecidas en la Ordenanza 099 de 2011</t>
  </si>
  <si>
    <t>Crear en los 2 primeros años el Banco de Saberes y Talentos  de personas adultas mayores lideres  en la transmisión del conocimiento, habilidades, experiencia y sabiduría.</t>
  </si>
  <si>
    <t>SUBPROGRAMA - REDES DE FORTALECIMIENTO Y  APRENDIZAJE  PARA EL BUEN GOBIERNO</t>
  </si>
  <si>
    <t>Construir 30  de obras de infraestructura,  durante el periodo de gobierno,  para prevención,  protección,  mitigación y recuperación de zonas en riesgo o afectadas por situación de emergencia o desastre.</t>
  </si>
  <si>
    <t>PROGRAMA - CUNDINAMARCA INNOVADORA CON CIENCIA Y TECNOLOGÍA</t>
  </si>
  <si>
    <t>Beneficiar 5.000 familias con el programa de seguridad alimentaria y nutricional en el periodo de gobierno, de las cuales 50 familias de grupos étnicos.</t>
  </si>
  <si>
    <t>CASAS DE GOBIERNO</t>
  </si>
  <si>
    <t>ORDEN</t>
  </si>
  <si>
    <t>Fortalecer la enseñanza hacia el deporte de competencia de 49.844 adolescentes anualmente en las escuelas de formación deportiva y Recreativa, articuladas con la jornada complementaria</t>
  </si>
  <si>
    <t>PROYECTO - APOYO AL MEJORAMIENTO DE LA SEGURIDAD ALIMENTARIA Y DE LA CALIDAD DE VIDA EN LA POBLACION  RURAL  DEPARTAMENTO DE CUNDINAMRCA</t>
  </si>
  <si>
    <t>PROYECTO - FORTALECIMIENTO Y RECONOCIMIENTO DE LOS GRUPOS ETNICOS ASENTADOS EN EL DEPARTAMENTO DE CUNDINAMARCA</t>
  </si>
  <si>
    <t>A.1.1.5</t>
  </si>
  <si>
    <t>Implementar la educación inclusiva para la adolescencia en 72 instituciones educativas de los municipios no certificados durante el cuatrienio</t>
  </si>
  <si>
    <t>Ejecutar al 100%, un proyecto de investigación aplicada a especies forestales nativas  maderables y no maderables  para mejorar sistemas productivos agropecuarios durante el presente gobierno</t>
  </si>
  <si>
    <t>FESTIVALES</t>
  </si>
  <si>
    <t>PROYECTO - PROTECCIÓN SOCIAL A PERSONAS ADULTAS MAYORES EN CENTROS DE LA  BENEFICENCIA DE CUNDINAMARCA</t>
  </si>
  <si>
    <t>ASOCIACIONES</t>
  </si>
  <si>
    <t>CONCIERTOS</t>
  </si>
  <si>
    <t>Mejorar la convivencia con la realización de 2 encuentros anuales interculturales de jóvenes pertenecientes a grupos étnicos</t>
  </si>
  <si>
    <t>PROGRAMA - SEGUIMIENTO Y EVALUACION PARA MEJOR DESEMPEÑO</t>
  </si>
  <si>
    <t>Lograr que anualmente el 35% de las y los jóvenes  participen de dinámicas integrales (culturales, deportivas, ambientales, emprendimiento, educativas)</t>
  </si>
  <si>
    <t>SUBPROGRAMA -  CUNDINAMARCA POTENCIA FORESTAL ESTRATÉGICA PARA EL DESARROLLO</t>
  </si>
  <si>
    <t>Fomentar el interés de la ciudadanía para participar en grupos de Vigías del Patrimonio durante el periodo de gobierno, para la defensa y promoción del patrimonio cultural.</t>
  </si>
  <si>
    <t>PROYECTO - FORTALECIMIENTO DE LAS BANDAS MUSICALES MUNICIPALES DEL DEPARTAMENTO DE CUNDINAMARCA</t>
  </si>
  <si>
    <t>INTERESES TASA IMPUESTO SOBRE VEHICULOS AUTOMOTORES</t>
  </si>
  <si>
    <t>ASOCIACION</t>
  </si>
  <si>
    <t>CENTRO GESTOR - 1121</t>
  </si>
  <si>
    <t>A.10.3</t>
  </si>
  <si>
    <t>PROYECTO - PROTECCIÓN Y ASEGURAMIENTO DEL RECURSO HIDRICO EN EL  DEPARTAMENTO DE CUNDINAMARCA</t>
  </si>
  <si>
    <t>BANCO</t>
  </si>
  <si>
    <t>Alcanzar en Cundinamarca el promedio nacional de penetración de Internet (12,8%)</t>
  </si>
  <si>
    <t>A.8.3.1</t>
  </si>
  <si>
    <t>A.18.4.6</t>
  </si>
  <si>
    <t>SUBPROGRAMA - ATENCION INTEGRAL BASICA</t>
  </si>
  <si>
    <t>Apoyar el desarrollo integral a través de procesos de formación artística y cultural de las y los adultos mayores en  5 municipios anualmente</t>
  </si>
  <si>
    <t>Contribuir al buen habitat de 500 familias urbanas con programas de mejoramiento barrial integral durante el cuatrienio</t>
  </si>
  <si>
    <t>EVALUACIONES</t>
  </si>
  <si>
    <t>Consolidar una evaluación agropecuaria anual de los 116 municipios en coordinación con las EPSAGRO, Ministerio de AGRICULTURA y Desarrollo Rural y con publicación anual</t>
  </si>
  <si>
    <t>A.9.15</t>
  </si>
  <si>
    <t>PROGRAMA - ALIANZA POR LA INFANCIA</t>
  </si>
  <si>
    <t>Apoyar el proceso formativo de los  niños y niñas de 0 a 5 años con el fortalecimiento de 80 bibliotecas públicas municipales en el cuatrienio</t>
  </si>
  <si>
    <t>TRAMITES EN LINEA</t>
  </si>
  <si>
    <t>SUBPROGRAMA - REGIONAL</t>
  </si>
  <si>
    <t>SUBPROGRAMA - VIDA, INTEGRIDAD, LIBERTAD Y SEGURIDAD</t>
  </si>
  <si>
    <t>Posicionar en los mercados regionales y Nacionales 10 productos de las cadenas productivas (Lácteos, Porcícola Cárnicos, Frutas, Panela, Café, Papa, Cacao, Caucho y Hortalizas) en el periodo de gobierno.</t>
  </si>
  <si>
    <t>ORDENANZAS 128/12 - 013/07</t>
  </si>
  <si>
    <t>SECRETARIA DE LA FUNCION PUBLICA</t>
  </si>
  <si>
    <t>Desarrollar procesos de normalización, certificación de producto y gestión de calidad en 250 empresas durante el periodo de gobierno</t>
  </si>
  <si>
    <t>A.14.2.3</t>
  </si>
  <si>
    <t xml:space="preserve">Fortalecer 15 provincias en seguridad mediante las comunicaciones, tecnología, movilidad, logística, dotaciones, durante el periodo de gobierno. </t>
  </si>
  <si>
    <t>LUDOTECAS</t>
  </si>
  <si>
    <t>CERES</t>
  </si>
  <si>
    <t>Mejorar en el cuatrienio los procesos educativos, formativos, pedagógicos e institucionales del 100% de las Instituciones educativas de los municipios no certificados</t>
  </si>
  <si>
    <t>Lograr que los adolescentes influyan en las desiciones de política social departamental asistiendo al 100% de las reuniones</t>
  </si>
  <si>
    <t>PROYECTO - ADQUISICIÓN DE PREDIOS, ESTUDIOS, DISEÑOS, CONSTRUCCIÓN, ADECUACION, MANTENIMIENTO Y AMPLIACIÓN DE LAS INSTITUCIONES EDUCATIVAS OFICIALES URBANAS Y RURALES DEPARTAMENTO DE CUNDINAMARCA</t>
  </si>
  <si>
    <t>MILLONES DE PESOS</t>
  </si>
  <si>
    <t>INSTITUTO PARA LA RECREACION Y EL DEPORTE DE CUNDINAMARCA</t>
  </si>
  <si>
    <t>A.2.3.1.1</t>
  </si>
  <si>
    <t>Apoyar  el  ajuste de los PGIRS del 12% de  los municipios del Departamento  en coordinación con el Gestor del PDA,  como estrategia de planificación territorial de la Gestión de residuos en el periodo de gobierno.</t>
  </si>
  <si>
    <t>SUBPROGRAMA - CUNDINAMARCA HACIA LA CONSOLIDACIÓN E INTEGRACIÓN REGIONAL</t>
  </si>
  <si>
    <t>Cofinanciar 5 instalaciones nuevas de la Fuerza pública al servicio de la seguridad en el Departamento, durante el periodo de gobierno.</t>
  </si>
  <si>
    <t>A.8.4</t>
  </si>
  <si>
    <t>PUESTO</t>
  </si>
  <si>
    <t>Aumento en un 10% de la   capacidad de adaptación al cambio y variabilidad climática</t>
  </si>
  <si>
    <t>Fortalecer en el cuatrienio al Consejo Territorial de Planeación.</t>
  </si>
  <si>
    <t>Apoyar a los municipios del departamento en la reactivación de los Comités para la prevención de la producción, comercialización y consumo de drogas y sustancias psicoactivas, que promuevan la participación de la ciudadanía y la coordinación de los entes involucradas para la lucha frente a esta problemática.</t>
  </si>
  <si>
    <t>SUBPROGRAMA - INFRAESTRUCTURA LOGÍSTICA PARA LA PRODUCTIVIDAD</t>
  </si>
  <si>
    <t>CENTRO GESTOR - 1127</t>
  </si>
  <si>
    <t>Lograr en el cuatrienio que el 100% de los niños y niñas de 6 a 11 años que lo demanden tengan registro civil y tarjeta de identidad, con prioridad en la población en pobreza extrema.</t>
  </si>
  <si>
    <t>CENTROS CARCELARIOS</t>
  </si>
  <si>
    <t>Promover Tres (3) convocatorias de investigación aplicada, abiertas a las universidades, centros de investigación, CDTs y demás organizaciones con presencia en el departamento, en áreas como Biodiversidad, recursos genéticos, biotecnología e innovación agroalimentaria, agroindustrial, cambio climático y salud durante el período de Gobierno</t>
  </si>
  <si>
    <t>Construir 30.000 Conexiones intradomiciliarias en acueducto, en el periodo de gobierno, para la población más pobre y vulnerable</t>
  </si>
  <si>
    <t>PROYECTO - IMPLEMENTACIÓN PLAN DEPARTAMENTAL DE AGUA PDA PAP  DE CUNDINAMARCA</t>
  </si>
  <si>
    <t xml:space="preserve">Crear y o Fortalecer 1.000 MIPYMES en Gestión e Innovación Empresarial para la productividad, durante el período de Gobierno. </t>
  </si>
  <si>
    <t>SUBPROGRAMA - SERVICIOS Y APLICACIONES SOPORTADAS EN TICS</t>
  </si>
  <si>
    <t>Implementar 10 alianzas estratégicas de integración a escala subregional, en el periodo de gobierno,  para la desconcentración y especialización de las vocaciones y potencialidades sociales, culturales, ambientales y  económicas de los territorios.</t>
  </si>
  <si>
    <t>PROYECTO - TITULACION PREDIAL A LOS POSEEDORES NO PROPIETARIOS EN EL DEPARTAMENTO DE  CUNDINAMARCA</t>
  </si>
  <si>
    <t>PROYECTO - DIAGNOSTICO ESTUDIOS DISEÑOS CONSTRUCCION Y MEJORAMIENTO DE INFRAESTRUCTURA PARA LA PRODUCCION DISTRIBUCION Y COMERCIALIZACION DE PRODUCTOS EN EL  DEPARTAMENTO DE CUNDINAMARCA</t>
  </si>
  <si>
    <t>Promover la creación de un observatorio que permita adelantar el seguimiento y análisis de las tendencias, resultados e impactos en materia de ciencia, tecnología e innovación, que involucre a los diferentes actores relevantes del sector, durante el período de Gobierno.</t>
  </si>
  <si>
    <t xml:space="preserve">Estampilla pro-electrificacion                              </t>
  </si>
  <si>
    <t>OBSERVATORIOS</t>
  </si>
  <si>
    <t>SUBPROGRAMA - ADAPTACIÓN AL CAMBIO Y VARIABILIDAD CLIMÁTICA</t>
  </si>
  <si>
    <t>SUBPROGRAMA - DESARROLLO TECNOLÓGICO, TRANSFERENCIA DE TECNOLOGÍA, ASISTENCIA TÉCNICA Y PLANIFICACIÓN AGROPECUARIA</t>
  </si>
  <si>
    <t>A.10.5</t>
  </si>
  <si>
    <t>Reducir en el cuatrienio en 50% las muertes por homicidio en niños y niñas de 0 a 5 años</t>
  </si>
  <si>
    <t xml:space="preserve">Consolidar  en  116 municipios la información temática ambiental como insumo para la construcción de un sistema de información departamental, en el periodo de gobierno. </t>
  </si>
  <si>
    <t>Implementar y/o mantener  durante el cuatrienio una  estrategia departamental  de  sensibilización y fomento de la responsabilidad frente al embarazo temprano</t>
  </si>
  <si>
    <t>Beneficiar al 50% afiliados y beneficiarios a la Corporación  Social de Cundinamarca con oferta de programas de Bienestar.</t>
  </si>
  <si>
    <t>Fomentar durante el cuatrienio en 400 madres comunitarias, habilidades para el adecuado manejo del desarrollo motriz de las y los menores de 0 a 6 años, VCA.</t>
  </si>
  <si>
    <t>Sistema General de Participaciones - Salud Oferta</t>
  </si>
  <si>
    <t>CENTRO GESTOR - 1182</t>
  </si>
  <si>
    <t>Fortalecer 117 Consejos de Política Social uno departamental y 116 municipales operando efectivamente con seguimiento en los cuatro años de gobierno</t>
  </si>
  <si>
    <t>Realizar anualmente 1 Rendición de Cuentas de VCA.</t>
  </si>
  <si>
    <t>Promover durante el cuatrienio habilidad deportiva de 1.500 adolescentes Víctimas del Conflicto Armado con escuelas de formación</t>
  </si>
  <si>
    <t>Incorporar durante el cuatrienio a 50 familias indígenas víctimas del conflicto y en condición de desplazamiento a financiación proyectos y sector productivo.</t>
  </si>
  <si>
    <t>Diseñar e implementar  2 sistemas de transferencia y/o aprovechamiento en el Departamento,  de manera coordinada entre el  Gestor del PDA  y las entidades del nivel central al finalizar  el periodo de gobierno.</t>
  </si>
  <si>
    <t>A.18.8</t>
  </si>
  <si>
    <t>Desarrollar inteligencias múltiples apoyando   la conformación de 12 agrupaciones musicales de niños y niñas de 0 a 5 años en el cuatrienio</t>
  </si>
  <si>
    <t>Acreditar la Secretaria de Salud en el marco del Sistema énico de Acreditación para Direcciones Territoriales de Salud</t>
  </si>
  <si>
    <t>A.2.2.11</t>
  </si>
  <si>
    <t>Beneficiar durante el cuatrienio 5.000 personas en situación de conflicto armado con el servicio de acueducto, en el periodo de gobierno.</t>
  </si>
  <si>
    <t>Desarrollar una campaña en el cuatrienio para fomentar que las y los adolescentes continuen en el sistema educativo despues del grado 9ø</t>
  </si>
  <si>
    <t>Acompañar durante el cuatrienio al 100% de las instituciones educativas públicas de los municipios no certificados en la revisión y  reelaboración de sus PEI, articulación con el plan de estudios, manuales de convivencia con enfoque de derechos y sistemas de evaluación, atendiendo las necesidades etnoeducativas de las instituciones que lo requieran</t>
  </si>
  <si>
    <t>INSTITUTO DE INFRAESTRUCTURA Y CONCESIONES DE CUNDINAMARCA</t>
  </si>
  <si>
    <t>SUBPROGRAMA - CUNDINAMARCA NEUTRA</t>
  </si>
  <si>
    <t>PROGRAMA - CUNDINAMARCA GOBIERNO INTELIGENTE CON DECISIONES INFORMADAS</t>
  </si>
  <si>
    <t>PROGRAMA - ADULTAS Y ADULTOS CON EQUIDAD</t>
  </si>
  <si>
    <t>PORCENTAJE DEL PROCESO</t>
  </si>
  <si>
    <t>PROYECTO - FORTALECIMIENTO PROMOCIÓN Y FOMENTO DE LAS MANIFESTACIONES ARTÍSTICAS Y CULTURALES PARA EL DEPARTAMENTO DE CUNDINAMARCA</t>
  </si>
  <si>
    <t>Desarrollar y fortalecer las capacidades empresariales a 500 empresas del sector agropecuario en el periodo de gobierno</t>
  </si>
  <si>
    <t>CENTRO GESTOR - 1123</t>
  </si>
  <si>
    <t>Promover acciones que permitan aumentar al 100% el número de mecanismos de participación social y defensoría del usuario conformados y funcionando en el Departamento en los cuatro años de gobierno</t>
  </si>
  <si>
    <t>A.2.2.2.1.2</t>
  </si>
  <si>
    <t>Lograr niños y niñas de 6 a 11 años mas saludables con la implementación en el cuatrienio de un programa integral de estilos de vida saludable  a nivel comunitario en el 64% de los municipios.</t>
  </si>
  <si>
    <t>Fortalecer capacidades y habilidades de 35 Instituciones y Organizaciones Comunitarias Locales en Gestión del Riesgo.</t>
  </si>
  <si>
    <t>PROYECTO - MEJORAMIENTO DE LA PRODUCTIVIDAD Y COMPETITVIDAD DE LA CADENA DEL CAFÉ EN EL DEPARTAMENTO DE CUNDINAMARCA</t>
  </si>
  <si>
    <t>A.14.4.4</t>
  </si>
  <si>
    <t>Implementar durante el cuatrienio en 35 municipios la jornada complementaria</t>
  </si>
  <si>
    <t xml:space="preserve">Difundir la música folclórica colombiana y universal a través de la realización de  80 encuentros y/o conciertos de expresiones musicales, tradicionales, folcloricas y corales en el cuatrienio </t>
  </si>
  <si>
    <t>Apoyar 5 iniciativas de emprendimiento e industria cultural de jóvenes en el cuatrienio</t>
  </si>
  <si>
    <t>MINAS LEGALIZADAS</t>
  </si>
  <si>
    <t>PROYECTO - APOYO AL FORTALECIMIENTO A LAS ENTIDADES DE ADMINISTRACION DE JUSTICIA DEL DEPARTAMENTO DE CUNDINAMARCA</t>
  </si>
  <si>
    <t>A.2.2.8.3</t>
  </si>
  <si>
    <t>A.1.1.7</t>
  </si>
  <si>
    <t>Promover la afiliación al 100% de la pobación objeto de aseguramiento al régimen subsidiado en el departamento</t>
  </si>
  <si>
    <t>Beneficiar anualmente al 30% de  las y los adultos con  actividades culturales, lúdicas y deportivas</t>
  </si>
  <si>
    <t xml:space="preserve">Alfabetizar y elevar el nivel educativo a 3.723 jóvenes, durante el cuatrienio, con prioridad en la población en condición de extrema pobreza. </t>
  </si>
  <si>
    <t>SUBPROGRAMA - PRODUCTIVIDAD AGROPECUARIA</t>
  </si>
  <si>
    <t>Fortalecimiento de 12 museos y/o Bienes de Interés Cultural, como escenarios que resguardan el patrimonio cultural, en el cuatrienio.</t>
  </si>
  <si>
    <t>Fortalecer la actividad física en 400.000 personas cada año mediante la participación en las maratones de aerobicos y en el día del desafio</t>
  </si>
  <si>
    <t>Fomentar durante el cuatrienio actividad física en 3.600 adultas y adultos Víctimas del Conflicto Armado.</t>
  </si>
  <si>
    <t>IPS</t>
  </si>
  <si>
    <t>PORCENTAJE DE REUNIONES</t>
  </si>
  <si>
    <t>PORCENTAJE DE MUNICIPIOS</t>
  </si>
  <si>
    <t>Fortalecer durante el cuatrienio 116 CTJT  de los  116 municipios  y la comunidad con asistencia técnica</t>
  </si>
  <si>
    <t>Organizar 1  sistema  Integrado de Información Regional  durante el periodo de gobierno para la gestión del riesgo</t>
  </si>
  <si>
    <t>INSTALACIONES</t>
  </si>
  <si>
    <t>Apoyar a la población en condición de discapacidad con 5 eventos arísticos y/o culturales focalizados  en el cuatrienio</t>
  </si>
  <si>
    <t>BODEGA DE DATOS</t>
  </si>
  <si>
    <t>Lograr que en las 15 provincias del departamento existan Jóvenes Constructores de Paz  - JCP desarrollando proyectos de interés para la comunidad.</t>
  </si>
  <si>
    <t>PROYECTO - MEJORAMIENTO BARRIAL Y DE VIVIENDA URBANA Y RURAL EN LOS 116 MUNICIPIOS DEL DEPARTAMENTO DE CUNDINAMARCA</t>
  </si>
  <si>
    <t>AGENDAS</t>
  </si>
  <si>
    <t xml:space="preserve">Estampilla pro-cultura                              </t>
  </si>
  <si>
    <t>A.9.11</t>
  </si>
  <si>
    <t>Reducir  en el cuatrienio la tasa de mortalidad infantil  (0 - 1 año) a 11 por 1.000 nacidos vivos</t>
  </si>
  <si>
    <t>PROGRAMA - INTEGRACION REGIONAL</t>
  </si>
  <si>
    <t>Operativizar y poner en marcha 4 Consejos regionales de CTeI, durante el período de Gobierno.</t>
  </si>
  <si>
    <t>A.16.2</t>
  </si>
  <si>
    <t>PROYECTO - CONTROL Y PREVENCION A EMERGENCIAS DE LA INFRAESTRUCTURA VIAL EN EL DEPARTAMENTO DE CUNDINAMARCA</t>
  </si>
  <si>
    <t>Sensibilizar y fortalecer durante el cuatrienio el arraigo cultural e inclusión de la Población víctima del conflicto armado, mediante su participación en 8 encuentros y/o talleres culturales.</t>
  </si>
  <si>
    <t>PROYECTO - DESARROLLO DE LAS ESCUELAS DE FORMACION ARTISTICA Y CULTURAL  PARA EL DEPARTAMENTO DE CUNDINAMARCA</t>
  </si>
  <si>
    <t xml:space="preserve">Estampilla pro-desarrollo                              </t>
  </si>
  <si>
    <t>Realizar durante el periodo de gobierno   8 promociones turísticas con estrategias  IEC(información, educación, comunicación)</t>
  </si>
  <si>
    <t>Promover habilidades de asociatividad para el trabajo y generación de fuentes de ingresos con 3 convenios interinstitucionales para las VCA.</t>
  </si>
  <si>
    <t>Fortalecer en el cuatrienio al 70% de las y los docentes y directivos docentes en gestión, liderazgo, procesos académicos, investigativos, formativos, pedagógicos, con un enfoque de inclusión.</t>
  </si>
  <si>
    <t>Contribuir a mejorar las condiciones de permanencia de los internos en 5 centros  carcelarios, en los cuatro años del periodo de gobierno. A través, de infraestructura, dotación, procesos de formación a internos, resocialización, entre otros.</t>
  </si>
  <si>
    <t>Atender en el cuatrienio a 1.000 familias de la Red Unidos en la dimensión de habitabilidad con estrategias de responsabilidad social empresarial y cooperación pública</t>
  </si>
  <si>
    <t>INTERESES TASA RECUPERACION IMPUESTO REGISTRO</t>
  </si>
  <si>
    <t>CENTRO GESTOR - 1108</t>
  </si>
  <si>
    <t>Apoyar el desarrollo integral a través de procesos de formación artística y cultural de niñas y niños de 0 a 5 años en  12 municipios anualmente</t>
  </si>
  <si>
    <t>SECRETARIA DE MINAS Y ENERGIA</t>
  </si>
  <si>
    <t>Habilitar 8 trámites en línea en el portal web del departamento, soportados en 5 nuevos sistemas de información priorizados e implementados.</t>
  </si>
  <si>
    <t>Apoyar técnica y financieramente la revisión de 25 Planes de Ordenamiento Territorial durante el cuatrienio.</t>
  </si>
  <si>
    <t xml:space="preserve">Fortalecer e Implementar durante el cuatrienio 2 Formas Asociativas Turísticas Comunitarias Rurales </t>
  </si>
  <si>
    <t xml:space="preserve">Estampilla pro-hospitales universitarios                             </t>
  </si>
  <si>
    <t>ENCUENTROS</t>
  </si>
  <si>
    <t>PROGRAMA</t>
  </si>
  <si>
    <t>SUBPROGRAMA - FORTALECIMIENTO INTEGRAL A LA GESTION LOCAL</t>
  </si>
  <si>
    <t>Implementar, durante el cuatrienio, en 30 instituciones educativas oficiales la formación en emprendimiento alrededor de procesos productivos mejorados y con estos apoyar la formación en competencias para la generación de empresa.</t>
  </si>
  <si>
    <t>Garantizar que el 100% de las plantas de docentes de las instituciones educativas de los municipios no certificados estén completas al inicio de cada año lectivo</t>
  </si>
  <si>
    <t>PORCENTAJE DE PERSONAS</t>
  </si>
  <si>
    <t>PORCENTAJE DE EMERGENCIAS</t>
  </si>
  <si>
    <t>A.2.2.2.4</t>
  </si>
  <si>
    <t>Consolidar  dos redes de innovación para los 5 nodos regionales de CteI, en articulación con el sector privado y la academia, durante el período de Gobierno</t>
  </si>
  <si>
    <t>Promover, durante el periodo de gobierno, la expansión de la cobertura de gas a 20 municipios de Cundinamarca, garantizando las conexiones de  10.000 familias.</t>
  </si>
  <si>
    <t>A.5.2</t>
  </si>
  <si>
    <t xml:space="preserve">Impuesto Cigarrillos Nacionales (Ley 30/71) -Deportes                        </t>
  </si>
  <si>
    <t>Incrementar y/o renovar en 10.000 hectáreas el área sembrada de 7 cadenas productivas  priorizadas. (Hortalizas, Frutas, Café, Cacao, Caña Panelera, Papa y Caucho) en el periodo de gobierno, especializándolas de acuerdo a las potencialidades de las Eco ? regiones.</t>
  </si>
  <si>
    <t>PROYECTO - IMPLEMENTACIÓN DE UN SISTEMA DE CONTROL Y VIGILANCIA DE PROYECTOS Y OBRAS DEL INSTITUTO DE INFRAESTRUCTURA Y CONCESIONES DEL DEPARTAMENTO DE CUNDINAMARCA</t>
  </si>
  <si>
    <t>Apoyar el desarrollo integral de niñas y niños de 6 a 11 años a través de procesos de formación artística y cultural en  35 municipios anualmente con intervención articulada con la jornada complementaria</t>
  </si>
  <si>
    <t>Incrementar a  31.000   las hectáreas de  conservación del recurso hídrico  del Departamento  ubicadas  en zonas de importancia estratégica en el periodo de gobierno, mediante  la consolidación de corredores ambientales.</t>
  </si>
  <si>
    <t>SUBPROGRAMA - DESARROLLO LOCAL TERRITORIAL</t>
  </si>
  <si>
    <t>PERSONAS</t>
  </si>
  <si>
    <t>Construir, adecuar y/o  mantener en el cuatrienio 500 sedes educativas en los municipios no certificados del departamento</t>
  </si>
  <si>
    <t>Llegar a 300.000 ciudadanos incluidos grupos étnicos, población en condición especial y en condición de discapacidad, preparados en el uso y aplicación responsable de las TIC como mecanismo para fortalecer la capacidad productiva y propiciar el uso sano del tiempo libre, ampliando la presencia de centros interactivos de 60 a 116 municipios del Departamento.</t>
  </si>
  <si>
    <t>SUBPROGRAMA - SEGURIDAD VIAL</t>
  </si>
  <si>
    <t>Especializar y/o renovar en cultivos relacionados con las cadenas productivas agropecuarias como mínimo un 5% del total de hectáreas cultivadas.</t>
  </si>
  <si>
    <t>CENTRO GESTOR - 1221</t>
  </si>
  <si>
    <t>Promover con Escuela de Formación durante el cuatrienio habilidad deportiva a 1.363 y y las niñas y los niños de 6 a 11 años VCA.</t>
  </si>
  <si>
    <t>PROYECTO - IMPLEMENTACIÓN DEL SISTEMA INTEGRAL DE GESTION Y CONTROL DEPARTAMENTO DE CUNDINAMARCA</t>
  </si>
  <si>
    <t>Apoyar la legalización y/o la adjudicación de 600 predios rurales baldíos y/o falsa tradición, de acuerdo a la normatividad vigente en el periodo de gobierno.</t>
  </si>
  <si>
    <t>Incrementar en el departamento en 0.8 puntos porcentuales el aseguramiento al régimen contributivo</t>
  </si>
  <si>
    <t>PROYECTO - PROTECCIÓN SOCIAL DE NIÑOS Y NIÑAS EN CENTROS DE LA  BENEFICENCIA  DE CUNDINAMARCA</t>
  </si>
  <si>
    <t>A.5.6.1</t>
  </si>
  <si>
    <t>Fomentar habilidades y destrezas con actividades lúdicas, culturales y deportivas anualmente en el 60% de las y los adolescentes</t>
  </si>
  <si>
    <t>Consolidar 4 iniciativas de integración regional que permitan el aprovechamiento del potencial de las eco regiones, para avanzar en la construcción de un departamento sostenible, equitativo y funcional,  durante el presente período de gobierno.</t>
  </si>
  <si>
    <t xml:space="preserve">Fondo de orden publico y seguridad ciudadana                         </t>
  </si>
  <si>
    <t>SUBPROGRAMA - MUNICIPIOS CUNDINAMARQUESES REVERDECIDOS Y CON OPORTUNIDADES SUSTENTABLES DE NEGOCIO</t>
  </si>
  <si>
    <t>PARQUES</t>
  </si>
  <si>
    <t>PROYECTO - APOYO AL DESARROLLO PRODUCTIVO Y COMPETITIVO DE LOS SECTORES ECONOMICOS DEL DEPARTAMENTO DE CUNDINAMARCA</t>
  </si>
  <si>
    <t>PROYECTO - IMPLEMENTACIÓN DE ESTRATEGIAS PARA LA PREVENCION DE LA DESERCION Y LA REPITENCIA ESCOLAR DEPARTAMENTO DE CUNDINAMARCA</t>
  </si>
  <si>
    <t>Recurso Ordinario</t>
  </si>
  <si>
    <t>A.13.3</t>
  </si>
  <si>
    <t>RUTA</t>
  </si>
  <si>
    <t>Desarrollar  2 alianzas estratégicas entre entidades territoriales del orden supra regional, durante el periodo de gobierno.</t>
  </si>
  <si>
    <t>SUBPROGRAMA - EXISTENCIA</t>
  </si>
  <si>
    <t>SUBPROGRAMA - USO Y APROPIACIÓN DE TICS</t>
  </si>
  <si>
    <t>4</t>
  </si>
  <si>
    <t>INSTITUTO DEPARTAMENTAL DE CULTURA Y TURISMO</t>
  </si>
  <si>
    <t>M2</t>
  </si>
  <si>
    <t>Generar 2 alianzas estratégicas con organismos internacionales que nos brinden cooperación técnica para la gestión de CTeI, durante el período de Gobierno.</t>
  </si>
  <si>
    <t>Beneficiar a 150.000 habitantes nuevos con servicio de alcantarillado, en el periodo de gobierno, para incrementar cobertura  con este servicio.</t>
  </si>
  <si>
    <t>BIENES</t>
  </si>
  <si>
    <t>Modernizar la gestión financiera y fiscal del Departamento mediante el fortalecimiento del 100 % de la infraestructura tecnológica a través de una plataforma unificada y la especialización del recurso humano durante el periodo de gobierno, para mejorar el core financiero y facilitar el pago de impuestos de los ciudadanos.</t>
  </si>
  <si>
    <t>PROYECTO - ADQUISICIÓN Y ARRENDAMIENTO DE MAQUINARIA DESTINADA A LA CONSTRUCCION MEJORAMIENTO REHABILITACION Y MANTENIEINTO DE LA INFRAESTRUCTURA VIAL DEL DEPARTAMENTO DE CUNDINAMARCA</t>
  </si>
  <si>
    <t>PORCENTAJE DE INSTITUCIONES</t>
  </si>
  <si>
    <t>Atender anualmente a 400  adultas y adultos mayores en programa de Seguridad Alimentaria</t>
  </si>
  <si>
    <t>PROYECTO - FORTALECIMIENTO DE LAS ESTRATEGIAS  DE BIENESTAR SOCIAL PARA  LOS AFILIADOS Y BENEFICIARIOS DE LA  CORPORACION SOCIAL DE CUNDINAMARCA</t>
  </si>
  <si>
    <t>A.14.2.4.2</t>
  </si>
  <si>
    <t>Implementar durante el cuatrienio en 35 municipios espacios de participación ciudadana con niños y niñas de 6 a 11 años (concejalitos y comunalitos, entre otros)</t>
  </si>
  <si>
    <t>Alcanzar en el cuatrienio una cobertura bruta en educación media de 78,9%, priorizando la población en situación de pobreza extrema que lo demande</t>
  </si>
  <si>
    <t>SUBPROGRAMA - SEGURIDAD ALIMENTARIA Y NUTRICIONAL</t>
  </si>
  <si>
    <t>Vacunar en el cuatrienio a 24.000 niñas y niños de un año de edad con esquema de vacunación PAI PLUS (hepatitis A y</t>
  </si>
  <si>
    <t>01</t>
  </si>
  <si>
    <t>Posicionar 4  destinos turísticos de Cundinamarca</t>
  </si>
  <si>
    <t>Atender durante el cuatrienio al 100% de las mujeres gestantes, lactantes y adultos mayores en riesgo de desnutrición Víctimas del Conflicto Armado, focalizadas y priorizadas a través de la Red Unidos</t>
  </si>
  <si>
    <t>Crear en el cuatrienio el observatorio Pedagógico de Redes Sociales Educativas del departamento</t>
  </si>
  <si>
    <t>PROYECTO - AMPLIACIÓN DE LA JORNADA ESCOLAR COMPLEMENTARIA EN EL  DEPARTAMENTO DE CUNDINAMARCA</t>
  </si>
  <si>
    <t>ORDENANZA  128/12</t>
  </si>
  <si>
    <t xml:space="preserve">Incrementar a 50 % la red vial departamental en óptimas condiciones de transitabilidad.
</t>
  </si>
  <si>
    <t>Diseñar y ejecutar durante el período de gobierno, un (1) programa de promoción, apropiación y uso de la propiedad intelectual en el Departamento</t>
  </si>
  <si>
    <t>LEY 99/93 - ADQUISICIÓN PREDIOS RESERVA HÍDRICA</t>
  </si>
  <si>
    <t>Atender durante el cuatrienio con estrategia integral de acompañamiento al 100% de las familias de las personas VCA con condición de discapacidad que lo requieran.</t>
  </si>
  <si>
    <t>ACUERDOS</t>
  </si>
  <si>
    <t>Pasar de 13.926 familias con acceso a bienes y servicios productivos, a beneficiar 19.041 familias en el periodo de gobierno</t>
  </si>
  <si>
    <t>A.3.12.6</t>
  </si>
  <si>
    <t>ORDENANZAS 128/12-04/08</t>
  </si>
  <si>
    <t>PROYECTO - IMPLEMENTACIÓN CENTRO INTEGRADO DE ATENCION AL CIUDADANO DEPARTAMENTO DE CUNDINAMARCA</t>
  </si>
  <si>
    <t>PROYECTO - IMPLEMENTACIÓN DE TECNOLOGIAS DE LA INFORMACION Y LA COMUNICACIÓN  PARA EL FORTALECIMIENTO DE LA RED HOSPITALARIA PUBLICA EN EL DEPARTAMENTO DE CUNDINAMARCA</t>
  </si>
  <si>
    <t>ESTUDIOS</t>
  </si>
  <si>
    <t>MISIONES</t>
  </si>
  <si>
    <t>Fortalecer el desarrollo sicomotriz y social de las y los adolescentes mejorando en el cuatrienio la operación de 160 ludotecas con AMBIENTE e implementos adecuados</t>
  </si>
  <si>
    <t>Implementar durante el cuatrienio el Plan Departamental de Erradicación del Trabajo Infantil</t>
  </si>
  <si>
    <t>PROYECTO - IMPLEMENTACIÓN DE  LA RED PARA EL CONOCIMIENTO Y EL APRENDIZAJE -  ESCUELA DE BUEN  GOBIERNO -  PARA EL DEPARTAMENTO DE CUNDINAMARCA Y SUS MUNICIPIOS</t>
  </si>
  <si>
    <t>Difundir la música folclórica colombiana y universal a través de la realización de  200 conciertos de la banda Sinfónica de cundinamarca en el cuatrienio</t>
  </si>
  <si>
    <t>A.14.1.5</t>
  </si>
  <si>
    <t>TOTAL SECRETARIA DE EDUCACION</t>
  </si>
  <si>
    <t>TASA RECUPERACION SOBRE VEHICULOS AUTOMOTORES</t>
  </si>
  <si>
    <t>ORDENANZAS 128/12, 039/09, LEY 30/92</t>
  </si>
  <si>
    <t>Generar en las mujeres mayor autonomía económica, apoyando a 500 proyectos productivos, entre otros con el fondo empresarial para la mujer cundinamarquesa y la red de empresarias del departamento</t>
  </si>
  <si>
    <t>A.17.10</t>
  </si>
  <si>
    <t>05</t>
  </si>
  <si>
    <t>BANCOS</t>
  </si>
  <si>
    <t>CENTRO GESTOR - 1114</t>
  </si>
  <si>
    <t>Fortalecer durante el cuatrienio cinco (5) proyectos de retorno en el Departamento de Cundinamarca en el proceso de articulación interinstitucional, Nación, Departamento y Municipios.</t>
  </si>
  <si>
    <t>SUBPROGRAMA - ATENCION HUMANITARIA</t>
  </si>
  <si>
    <t>Generar indicadores e información geográfica y estadística a nivel departamental y municipal, a través de publicaciones análogas y/o digitales como material de soporte para la toma de decisiones en los procesos de planificación y ordenamiento del territorio.</t>
  </si>
  <si>
    <t>SECRETARÍA DE CIENCIA, TECNOLOGÍA E INNOVACION</t>
  </si>
  <si>
    <t>BIENES DE INETERES CULTURAL</t>
  </si>
  <si>
    <t>Vacunar en el cuatrienio a 40.000 adultas y adultos mayores de 60 años contra influenza  y neumococo</t>
  </si>
  <si>
    <t>Apoyar el talento de jóvenes artistas con su  participación en 10 encuentros y/o concursos artísticos y culturales anualmente</t>
  </si>
  <si>
    <t>Fortalecer 2000 Organizaciones comunitarias en participación e inclusión con dinámicas de integración y comunicación.</t>
  </si>
  <si>
    <t>PROYECTO - INVESTIGACIÓN Y ANALISIS CUANTITATIVA Y CUALITATIVA DE LOS DERECHOS - DESCA A TRAVÉS DEL OBSERVATORIO SOCIAL Y DE DERECHOS   DEL DEPARTAMENTO DE CUNDINAMARCA</t>
  </si>
  <si>
    <t>PROYECTO - APOYO GESTION ESTRATEGICA PARA  EL DESARROLLO INTEGRAL EN EL NIVEL SUPRAREGIONAL CUNDINAMARCA Y OTROS DEPARTAMENTOS</t>
  </si>
  <si>
    <t>ALIANZAS</t>
  </si>
  <si>
    <t>Construir y/o terminar en el cuatrienio la infraestructura física de 6 IPS que conforman la red pública del Departamento (Hospitales, Centros y/o Puestos de Salud) para mejorar la prestación de servicios de salud con calidad, acceso efectivo y oportunidad en el cuatrienio.</t>
  </si>
  <si>
    <t>PREMIOS</t>
  </si>
  <si>
    <t>SUBPROGRAMA - ADECUACIÓN DE TIERRAS</t>
  </si>
  <si>
    <t>PROYECTO - MEJORAMIENTO DE LA PRODUCTIVIDAD Y COMPETITIVIDAD DE LA CADENA DE FRUTALES EN EL DEPARTAMENTO DE CUNDINAMARCA</t>
  </si>
  <si>
    <t>Promover la titulación predial para  apoyando técnica, jurídica y socialmente a 250 hogares urbanos y rurales en el cuatrienio</t>
  </si>
  <si>
    <t>PROYECTO - APOYO AL  ACCESO A FACTORES PRODUCTIVOS  DE LA POBLACION  RURAL EN LOS  MUNICIPIOS DE CUNDINAMARCA</t>
  </si>
  <si>
    <t>PROYECTO - IMPLEMENTACIÓN SISTEMA DE RECOLECCION DE INFORMACION Y HERRAMIENTAS DE PLANIFICACION PARA EL SECTOR AGROPECUARIO DEPARTAMENTO DE CUNDINAMARCA</t>
  </si>
  <si>
    <t>PROGRAMA - BIENES Y SERVICIOS AMBIENTALES PATRIMONIO DE CUNDINAMARCA</t>
  </si>
  <si>
    <t>Ascender, durante el periodo de gobierno, un puesto en el escalafón  de fortaleza económica en el ranking de competitividad departamental en Colombia</t>
  </si>
  <si>
    <t>Mejorar la condición nutricional de 4.000 niños y niñas de primera infancia, cada año,  con complemento alimentario, con prioridad en la población de pobreza extrema</t>
  </si>
  <si>
    <t>PUBLICACIONES</t>
  </si>
  <si>
    <t>SUBPROGRAMA - CALIDAD DE AGUA</t>
  </si>
  <si>
    <t>Realizar el 100% del proceso de Identificación y Caracterización de las Víctimas del Conflicto Armado según modalidad y exceptuando el desplazamiento forzado.</t>
  </si>
  <si>
    <t>OBJETIVO  - SOSTENIBILIDAD Y RURALIDAD</t>
  </si>
  <si>
    <t xml:space="preserve">Realizar 116 obras y/o servicios  socioeconómicos de innovación  para el desarrollo comunitario y local, durante el periodo de gobierno en los Municipios </t>
  </si>
  <si>
    <t>Adecuar, mantener y conservar 8 bienes inmuebles de Interés Cultural en el cuatrienio</t>
  </si>
  <si>
    <t>Adelantar una campaña anual preventiva de ESCNNA Explotación Sexual comercial de niños, niñas y adolescentes, asociada con el turismo, pertenecientes a la población Victima del conflicto armado.</t>
  </si>
  <si>
    <t>Contribuir  técnica y financieramente durante el cuatrienio para que 500 familias urbanas, accedan a viviendas nuevas (VIS y VIP) y reubicación, a través de programas de construcción de infraestructura urbanística, en conjunto con las demás entidades cooperantes del Sistema Nacional de Vivienda - SNV.</t>
  </si>
  <si>
    <t>Vincular 6000 productores al sistema financiero agropecuario con garantías, e incentivos complementarios en el periodo de gobierno.</t>
  </si>
  <si>
    <t>Reducir en el cuatrienio la tasa de deserción escolar al 5.15%</t>
  </si>
  <si>
    <t>TOTAL UNIDAD ADM. ESPECIAL DE VIVIENDA SOCIAL</t>
  </si>
  <si>
    <t>SECRETARIA DEL AMBIENTE</t>
  </si>
  <si>
    <t>Implementar en el cuatrienio la ruta de atención y protección a la mujer</t>
  </si>
  <si>
    <t>PORCENTAJE DE PREDIOS</t>
  </si>
  <si>
    <t>PROGRAMA - EMPODERAMIENTO LOCAL PARA LA EQUIDAD  Y LA UNIDAD  TERRITORIAL.</t>
  </si>
  <si>
    <t>SISTEMAS</t>
  </si>
  <si>
    <t>INFRAESTRUCTURAS</t>
  </si>
  <si>
    <t>Realizar mantenimiento periódico y/o rutinario durante los próximos cuatro años a 3,000 kms de la red de segundo orden</t>
  </si>
  <si>
    <t>SUBPROGRAMA - GESTIÓN INTEGRAL DEL RIESGO </t>
  </si>
  <si>
    <t xml:space="preserve">Participacion  en la sobretasa al ACPM.                            </t>
  </si>
  <si>
    <t>PROYECTO - FORTALECIMIENTO A LA PRODUCTIVIDAD COMPETITIVIDAD Y DESARROLLO DEL SECTOR TURISMO  EN EL DEPARTAMENTO DE CUNDINAMARCA</t>
  </si>
  <si>
    <t>Contribuir a la formación integral y al uso adecuado del tiempo libre con la participación de 80.000 adolescentes cada año con juegos intercolegiados en todas sus fases.</t>
  </si>
  <si>
    <t>Sistema General de Participaciones - Salud Publica</t>
  </si>
  <si>
    <t>Lograr jóvenes mas saludables con la implementación en el cuatrienio de un programa integral de estilos de vida saludables  a nivel comunitario enel 100% de los municipios</t>
  </si>
  <si>
    <t>POLITICAS</t>
  </si>
  <si>
    <t>ESTRATEGIAS</t>
  </si>
  <si>
    <t>CONVENIOS</t>
  </si>
  <si>
    <t>PROYECTO - DIAGNOSTICO ESTUDIOS, DISEÑOS, MEJORAMIENTO, AMPLIACION Y CONSTRUCCION DE HOSPITALES, CENTROS DE SALUD,  PUESTOS DE SALUD, LABORATORIO DE SALUD PUBLICA Y CENTRO REGULADOR DE URGENCIAS, EMERGENCIAS Y DESASTRES CRUE DEL DEPARTAMENTO DE CUNDINAMARCA</t>
  </si>
  <si>
    <t>Aumentar la capacidad de respuesta en transporte terrestre de la red pública hospitalaria del departamento,  mediante la adquisición de 16 ambulancias en el cuatrienio</t>
  </si>
  <si>
    <t>Lograr anualmente cobertura útil de vacunación (95%) en niños y niñas menores de un año con esquema completo según nacidos vivos</t>
  </si>
  <si>
    <t>PROYECTO - MEJORAMIENTO DE LA PRODUCTIVIDAD Y COMPETITIVIDAD DE LA CADENA CAÑA PANELERA EN EL DEPARTAMENTO DE CUNDINAMARCA</t>
  </si>
  <si>
    <t>MINEROS</t>
  </si>
  <si>
    <t>Apoyar la conformación de dos redes de juventudes en el sector minero, durante el periodo 2012-2016.</t>
  </si>
  <si>
    <t>A.3.12.4</t>
  </si>
  <si>
    <t>CENTRO GESTOR - 1208</t>
  </si>
  <si>
    <t>MIPYMES</t>
  </si>
  <si>
    <t>INSTITUCIONES</t>
  </si>
  <si>
    <t>TOTAL UNIDAD ADMINISTRATVA ESPECIAL  BOSQUES DE CUNDINAMARCA</t>
  </si>
  <si>
    <t>PROYECTO - CONSERVACIÓN Y/O RECUPERACION DE LOS ECOSISTEMAS LENTICOS EN EL DEPARTAMENTO DE  CUNDINAMARCA</t>
  </si>
  <si>
    <t>A.14.1.7</t>
  </si>
  <si>
    <t>Promover un Sistema de Información integrado para los niveles de Gobierno que se integren en una plataforma única en el nivel central y descentralizado del departamento, durante el cuatrienio</t>
  </si>
  <si>
    <t>Lograr que el 100 % de los municipios del Departamento  (116)  superen la calificación del 60% en el índice de desempeño municipal</t>
  </si>
  <si>
    <t>SEDES</t>
  </si>
  <si>
    <t>A.2.4.10</t>
  </si>
  <si>
    <t>PROYECTO - IMPLEMENTACIÓN  Y MASIFICACIÓN DEL SERVICIO DE GAS COMBUSTIBLE POR REDES PARA MUNICIPIOS  DEL DEPARTAMENTO DE CUNDINAMARCA</t>
  </si>
  <si>
    <t>TOTAL SECRETARIA DE LA FUNCION PUBLICA</t>
  </si>
  <si>
    <t>03</t>
  </si>
  <si>
    <t>PROYECTO - CONSTRUCCIÓN DE CAPACIDADES DE GESTION, ADMINISTRACION Y DESARROLLO DE ORGANISMOS COMUNALES EN EL DEPARTAMENTO DE CUNDINAMARCA</t>
  </si>
  <si>
    <t>A.2.2.5.3</t>
  </si>
  <si>
    <t>TOTAL SECRETARIA DE MINAS Y ENERGIA</t>
  </si>
  <si>
    <t>Formular en el cuatrienio las políticas públicas poblacionales de población en condición de discapacidad;  primera infancia, infancia y Adolescencia;  Familia; Seguridad Alimentaria y nutricional ,  Vejez y Envejecimiento, entre otras. Con enfoque diferencial, de derechos y de género</t>
  </si>
  <si>
    <t>CLUBES</t>
  </si>
  <si>
    <t>A.1.5.2</t>
  </si>
  <si>
    <t>PEAJE SAN MIGUEL</t>
  </si>
  <si>
    <t>Mejorar dinámicas de interacción social de las y los adultos, vinculándolos a 160 ludotecas fortalecidas en su capacidad de servicio</t>
  </si>
  <si>
    <t>PROVINCIAS</t>
  </si>
  <si>
    <t>CENTRO GESTOR - 1223</t>
  </si>
  <si>
    <t>Construir 3000 unidades sanitarias en el sector rural, en el periodo de gobierno, para contribuir a mejorar las condiciones de habitabilidad y saneamiento básico en estas zonas.</t>
  </si>
  <si>
    <t>SUBPROGRAMA - CONSERVACIÓN Y MANEJO DE ECOSISTEMAS ESTRATÉGICOS</t>
  </si>
  <si>
    <t>A.14.13.2</t>
  </si>
  <si>
    <t>Implementar 13 alianzas estratégicas de integración para el desarrollo competitivo de la región Bogotá - Cundinamarca con la perspectiva de asociación con otros departamentos limítrofes, en el periodo de gobierno.</t>
  </si>
  <si>
    <t>Lograr anualmente que 2.329 escolares Víctimas del Conflicto Armado participen en los Juegos Intercolegiados Departamentales.</t>
  </si>
  <si>
    <t>SISTEMA GENERAL DE PARTICIPACION CON SITUACION DE FONDOS</t>
  </si>
  <si>
    <t>A.14.6.2</t>
  </si>
  <si>
    <t xml:space="preserve">Implementar (1) un programa para buenas prácticas en los procesos de gestión documental y de archivo </t>
  </si>
  <si>
    <t>Lograr adultas y adultos mas saludables con la implementación en el cuatrienio de un programa integral de estilos de vida saludables  a nivel comunitario en el 100% de los municipios</t>
  </si>
  <si>
    <t>FONDO DEPARTAMENTAL DE SALUD - SECRETARIA DE SALUD</t>
  </si>
  <si>
    <t>Fortalecer 4 grupos de mini cadenas: Balanceados (Maíz, Yuca y sorgo), Gramíneas y leguminosas (Frijol, Arveja, Habichuela), Cereales y especies menores (Cunícola, Ovinos - Caprinos, Piscicultura y Apicultura, entre otros) de importancia socioeconómica  y como despensa agroalimentaria de la ciudad región en el periodo de gobierno</t>
  </si>
  <si>
    <t>CADENAS</t>
  </si>
  <si>
    <t>PROYECTO - APOYO Y ATENCION INTEGRAL A LAS ADULTAS Y LOS ADULTOS MAYORES CON ENFOQUE DIFERENCIAL FORTALECIENDO SU ENVEJECIMIENTO ACTIVO EN EL DEPARTAMENTO DE CUNDINAMARCA</t>
  </si>
  <si>
    <t>A.14.7.4</t>
  </si>
  <si>
    <t>Promocionar actividad física a 123.236 adultos y adultas para mejorar estilos de vida saludable para la comunidad del departamento</t>
  </si>
  <si>
    <t>OBJETIVO  - DESARROLLO INTEGRAL DEL SER HUMANO</t>
  </si>
  <si>
    <t xml:space="preserve">Apoyar a los 116 municipios para pavimentar durante el periodo de gobierno 100,000  M2 de su red vial urbana   </t>
  </si>
  <si>
    <t>TOTAL INSTITUTO DEPARTAMENTAL DE CULTURA Y TURISMO</t>
  </si>
  <si>
    <t>A.13.1</t>
  </si>
  <si>
    <t xml:space="preserve">Cundinamarca, durante el periodo de gobierno, asciende 1 puesto en el factor de CTI del escalafón   departamental de competitividad </t>
  </si>
  <si>
    <t>A.1.2.7</t>
  </si>
  <si>
    <t>UNIDAD ADM. ESPECIAL DE VIVIENDA SOCIAL</t>
  </si>
  <si>
    <t>PORCENTAJE DE ORGANISMOS</t>
  </si>
  <si>
    <t xml:space="preserve">Mejorar la economía familiar con el ahorro del 30% del costo mensual del servicio de gas domiciliario.
</t>
  </si>
  <si>
    <t>PROGRAMA - MINERÍA Y ENERGÍA RESPONSABLE PARA CUNDINAMARCA</t>
  </si>
  <si>
    <t>Fomentar durante el cuatrienio actividad física adecuada a la edad de 2.800 adultas y adultos mayores Víctimas del Conflicto Armado (Gimnasia - Aeróbicos).</t>
  </si>
  <si>
    <t>PROYECTO - PROTECCIÓN SOCIAL A LOS Y LAS ADOLESCENTES EN CENTROS DE LA  BENEFICENCIA DE CUNDINAMARCA</t>
  </si>
  <si>
    <t>Implementar un modelo para la gestión de los programas de cánceres asociados a salud sexual y reproductiva (cérvix, seno y próstata), con enfoque de riesgo en los 116 municipios</t>
  </si>
  <si>
    <t>Apoyar en el cuatrienio a 30 municipios frente a los nuevos modelos de abordaje integral social en la prevención y/o atención de las adicciones y la indagación de las causas</t>
  </si>
  <si>
    <t>Aumentar en el cuatrienio a 38% el índice de florecimiento juvenil</t>
  </si>
  <si>
    <t>Conferir durante el cuatrienio 600 ayudas técnicas para promover la inclusión social a la población víctima del conflicto armado en condición de discapacidad.</t>
  </si>
  <si>
    <t>A.12.9</t>
  </si>
  <si>
    <t>SECRETARIA DE COOPERACION Y ENLACE INSTITUCIONAL</t>
  </si>
  <si>
    <t>Fortalecer la práctica del deporte asociado mediante la organización y participación de las ligas en torneos y eventos de las diferentes disciplinas</t>
  </si>
  <si>
    <t>PROYECTO - APOYO PARA LA PREVENCION Y MITIGACIÒN DE EMERGENCIAS Y DESASTRES AGROPECUARIOS DEPARTAMENTO DE CUNDINAMARCA</t>
  </si>
  <si>
    <t>PUESTOS</t>
  </si>
  <si>
    <t>INICIATIVAS</t>
  </si>
  <si>
    <t>INSTRUMENTOS</t>
  </si>
  <si>
    <t>SUBPROGRAMA - SUPRAREGIONAL</t>
  </si>
  <si>
    <t>Atender con la estrategia de atención integral para el inicio parejo de la vida  en el 100% de los hospitales de la red pública a los niños y niñas de 0 a 5 años.</t>
  </si>
  <si>
    <t>PROYECTO - APORTES PARA GARANTIZAR EL PAGO DE GARANTIAS COMERCIALES DE LOS CONTRATOS DE CONCESION Y GASTOS DE OPERACIÓN Y CONTROL DEL RECAUDO DE PEAJES  EN LA RED VIAL SECUNDARIA DEL DEPARTAMENTO DE CUNDINAMARCA</t>
  </si>
  <si>
    <t>BIBLIOTECAS</t>
  </si>
  <si>
    <t>INSTITUTO DEPARTAMENTAL DE ACCION COMUNAL Y PARTICIPACION CIUDADANA</t>
  </si>
  <si>
    <t>PROYECTO - APOYO A LA CONSTRUCCION Y/O ADQUISICIÓN DE VIVIENDA DE INTERÉS PRIORITARIO Y CONSTRUCCIÓN DE OBRAS DE INFRAESTRUCTURA URBANÍSTICA EN LAS ZONAS URBANAS DE LOS 116 MUNICIPIOS DEPARTAMENTO DE CUNDINAMARCA</t>
  </si>
  <si>
    <t>CONEXIONES</t>
  </si>
  <si>
    <t>SECRETARIA DE COMPETITIVIDAD Y DESARROLLO ECONOMICO</t>
  </si>
  <si>
    <t>PROGRAMA - FAMILIAS FORJADORAS DE SOCIEDAD</t>
  </si>
  <si>
    <t>PROYECTO - APOYO A EMPRESARIOS EN EL POSICIONAMIENTOS DE SUS PRODUCTOS EN MERCADOS INTERNACIONALES ASESORADOS POR EL DEPARTAMENTO DE CUNDINAMARCA</t>
  </si>
  <si>
    <t>Alcanzar en el cuatrienio una cobertura bruta en transición de 86.95%, priorizando la población en pobreza extrema que lo demande</t>
  </si>
  <si>
    <t>COMITES</t>
  </si>
  <si>
    <t xml:space="preserve">Crear durante el período de gobierno, un (1) observatorio de accidentalidad del Departamento, con una estrategia gestión tecnológica y un sistema de información eficiente. </t>
  </si>
  <si>
    <t>Mejorar dinámicas de interacción social de las y los jóvenes, vinculándolos a 160 ludotecas fortalecidas en su capacidad de servicio</t>
  </si>
  <si>
    <t>A.3.13</t>
  </si>
  <si>
    <t>A.13.5</t>
  </si>
  <si>
    <t>Promover y masificar la práctica deportiva con la participación de 15.000 jóvenes en el cuatrienio en espacios de competición a nivel municipal, regional y departamental</t>
  </si>
  <si>
    <t>MESES</t>
  </si>
  <si>
    <t>TOTAL SECRETARIA DE TRANSPORTE Y MOVILIDAD</t>
  </si>
  <si>
    <t>SUBPROGRAMA - DESARROLLO EMPRESARIAL MINERO</t>
  </si>
  <si>
    <t>Fortalecer el Sistema de Información Geográfica Regional (SIG R) como plataforma tecnológica corporativa con variables de información de entidades del nivel central, desconcentrado y municipal.</t>
  </si>
  <si>
    <t>2</t>
  </si>
  <si>
    <t>Garantizar la atención integral al 100% de las y los infantesvíctimas y posibles víctimas de trata de personas que lo demanden</t>
  </si>
  <si>
    <t>A.12.6.1</t>
  </si>
  <si>
    <t>Garantizar el Pago del 100% de los aportes de previsión social de los docentes</t>
  </si>
  <si>
    <t>PROGRAMA - SEGURIDAD Y CONVIVENCIA CON DERECHOS HUMANOS</t>
  </si>
  <si>
    <t>DESTINOS</t>
  </si>
  <si>
    <t>Beneficiar a 202.000 habitantes nuevos con servicio de acueducto, para incrementar cobertura con este servicio en el periodo de gobierno.</t>
  </si>
  <si>
    <t>PROGRAMA - GESTIÓN DEL RIESGO Y ADAPTACIÓN AL CAMBIO Y VARIABILIDAD CLIMATICA</t>
  </si>
  <si>
    <t>Desarrollar  1 Proyecto piloto de cambio climático y ordenamiento territorial como acción demostrativa de manejo adaptativo del territorio, en el periodo de gobierno.</t>
  </si>
  <si>
    <t>Gestionar el acceso a la prestación de servicios de salud al 100% de la población víctima del conflicto armado que demande servicios de urgencias como no asegurados y los afiliados al RS en lo no cubierto por subsidios a la demanda del departamento</t>
  </si>
  <si>
    <t>Posicionar durante el período de Gobierno 100 productos de Cundinamarca en el mercado internacional.</t>
  </si>
  <si>
    <t>Mejorar 5 instalaciones de la Fuerza Pública adecuadas o remodeladas al servicio de la seguridad en el Departamento, durante el periodo de gobierno.</t>
  </si>
  <si>
    <t>A.4.2</t>
  </si>
  <si>
    <t>PROYECTO - APOYO A LOS PRODUCTORES AGROPECUARIOS CON INCENTIVOS A LA CAPITALIZACIÓN RURAL Y FACILIDADES PARA ACCEDER AL CREDITO EN EL DEPARTAMENTO DE CUNDINAMARCA</t>
  </si>
  <si>
    <t>PRODUCTOS</t>
  </si>
  <si>
    <t>Crear y/o fortalecer 8 centros de gestión empresarial que fomenten la asociatividad y el emprendimiento regional, en el periodo de Gobierno,</t>
  </si>
  <si>
    <t>Incrementar el nivel educativo otorgando subsidios para vincular en el cuatrienio a 5.000 estudiantes cundinamarqueses que sean aceptados en las instituciones de educación superior, priorizando la población en extrema pobreza que lo demande</t>
  </si>
  <si>
    <t>Garantizar, en el cuatrienio 8.000 cupos para la atención en educación inicial a niños y niñas menores de 5 años, priorizando la población en pobreza extrema que lo demande.</t>
  </si>
  <si>
    <t>Establecer 200 hectáreas forestales para la recuperación de bosque natural con fines protectores durante el cuatrienio</t>
  </si>
  <si>
    <t>Fomentar la actividad física y la integración social mediante la adecuación en el cuatrienio de 40 Parques Biosaludables</t>
  </si>
  <si>
    <t>SUBPROGRAMA - INNOVACION RURAL</t>
  </si>
  <si>
    <t>CALIFICACION</t>
  </si>
  <si>
    <t>PROYECTO - ACTUALIZACIÓN INFORMACIÓN ESTADISTICA E INSTITUCIONAL EN EL DEPARTAMENTO DE CUNDINAMARCA</t>
  </si>
  <si>
    <t>HOGARES</t>
  </si>
  <si>
    <t>Un (1)  esquema asociativo constituido  integra recursos y fortalece Unidad Regional</t>
  </si>
  <si>
    <t>Implementar 100% del Sistema Integral de Gestión y control para alcanzar la certificación</t>
  </si>
  <si>
    <t>Reducir en el cuatrienio en mínimo 5% las muertes por homicidio en adolescentes</t>
  </si>
  <si>
    <t>Construir y/o adecuar durante el período de gobierno,  3 infraestructuras para la producción, distribución y comercialización, como plazas de mercado, plazas de ferias y exposiciones.</t>
  </si>
  <si>
    <t xml:space="preserve">Desarrollar en el Departamento de Cundinamarca las acciones competentes de  Inspección, Vigilancia   y Control  en el 100% de los sujetos susceptibles de intervención  en el marco de la Prestación de servicios de salud,   Aseguramiento, Financiamiento del SGSSS y Salud Publica </t>
  </si>
  <si>
    <t>Reducir en el cuatrienio a 40 por 100.000 nacidos vivos la razón de mortalidad materna</t>
  </si>
  <si>
    <t>UNIDAD ADMINISTRATIVA ESPECIAL PARA LA PREVENCION DEL RIESGO Y LA ATENCION DE EMERGENCIAS</t>
  </si>
  <si>
    <t>116 municipios apoyados para la implementación de estrategias de prevención de la violencia de la mujer con enfoque multisectorial y transversal</t>
  </si>
  <si>
    <t>Potencializar habilidades y destrezas en el 5% de las personas adultas mayores con y sin discapacidad como usuarios de programas culturales, recreativos y lúdicos cada año</t>
  </si>
  <si>
    <t>CENTRO GESTOR - 1118</t>
  </si>
  <si>
    <t xml:space="preserve">Asignar anualmente computadores a 13.000 niños y niñas de sexto grado de las instituciones educativas del Departamento como mecanismo para mejorar la calidad educativa durante el periodo de gobierno </t>
  </si>
  <si>
    <t>Instalar y operar 2 viveros forestales de especies nativas con capacidad de producción anual de 140.000 plántulas , para el suministro de material vegetal a establecer en plantaciones forestales protectoras y/o productoras durante el periodo de gobierno</t>
  </si>
  <si>
    <t>09</t>
  </si>
  <si>
    <t xml:space="preserve">Desarrollar e Implementar en los 116 municipios, estrategias de Información, Educación y Comunicación dirigidas a la prevención del maltrato infantil, explotación y abuso sexual de los niños y niñas promoviendo cultura de responsabilidad de todas y todos </t>
  </si>
  <si>
    <t>PORCENTAJE DE DOCENTES</t>
  </si>
  <si>
    <t>Contribuir, en el cuatrienio con la permanencia de 40.874 niñas y niños en el sistema educativo oficial, mediante el suministro de complementos nutricionales.</t>
  </si>
  <si>
    <t>Promover la actividad física a 5.220 jóvenes con el programa ""SUPERATE""</t>
  </si>
  <si>
    <t>A.2.4.14</t>
  </si>
  <si>
    <t>Focalizar recursos económicos y/o técnicos para que en los municipios del departamento se incremente un 11%   en promedio el suministro con agua potable en zonas urbanas,  para mejorar las condiciones de salubridad de la población, especialmente la infantil en el periodo de gobierno.</t>
  </si>
  <si>
    <t>Apoyar en el cuatrienio  la creación y fortalecimiento de 40  clubes,  organizaciones  y asociaciones  juveniles</t>
  </si>
  <si>
    <t>07</t>
  </si>
  <si>
    <t>Identificar el 100 % de Talentos para semilleros de deportistas e incluirlos en entrenamiento de alto rendimiento de las Víctimas del Conflicto Armado.</t>
  </si>
  <si>
    <t>Reducir la prevalencia de desnutrición crónica en niños y niñas menores de 6 años a 9,5%  en el cuatrienio</t>
  </si>
  <si>
    <t>TOTAL UNIVERSIDAD DE CUNDINAMARCA</t>
  </si>
  <si>
    <t>NIÑOS</t>
  </si>
  <si>
    <t>Estimular la excelencia deportiva con Apoyo económico a 100 deportistas medallistas cada año</t>
  </si>
  <si>
    <t>Modernizar 8 Empresas Sociales del Estado durante el cuatrienio</t>
  </si>
  <si>
    <t xml:space="preserve">Promover estrategias para reducir en un 16% la informalidad e ilegalidad en la explotación minera de carbón en Cundinamarca, durante el periodo de gobierno.
</t>
  </si>
  <si>
    <t>Construir ocho (8) PTAR en el cuatrienio, para mejorar el saneamiento ambiental y la calidad de agua de las fuentes receptoras</t>
  </si>
  <si>
    <t xml:space="preserve">Garantizar disponibilidad del recurso hídrico, con la conservación de 31.000 hectáreas ubicadas  en zonas de importancia estratégica en las Eco – Regiones.  </t>
  </si>
  <si>
    <t>La institución Departamental, los gobiernos territoriales y la comunidad involucran al 100% de las diferentes instancias de participación en el desarrollo de sus programas y proyectos generando corresponsabilidad con participación real y activa.</t>
  </si>
  <si>
    <t>Producto</t>
  </si>
  <si>
    <t>Formar en el cuatrienio a 3.000 docentes en PROGRAMAs de incorporación de las TIC en los procesos pedagógicos</t>
  </si>
  <si>
    <t>Apoyar anualmente  al 100% de las y los estudiantes de grado 11 de las Instituciones educativas ubicadas por debajo del nivel medio en las pruebas SABER, con PROGRAMAs de preparación para las pruebas SABER PRO.</t>
  </si>
  <si>
    <t>Crear durante el cuatrienio 4 CERES que ofrezcan PROGRAMAs de formación en función del desarrollo potencial, personal, productivo y competitivo de los territorios.</t>
  </si>
  <si>
    <t>A.1.2.6</t>
  </si>
  <si>
    <t>A.1.1.2.1</t>
  </si>
  <si>
    <t>A.12.18</t>
  </si>
  <si>
    <t>A.14.18.4.</t>
  </si>
  <si>
    <t>A-14.6.4.</t>
  </si>
  <si>
    <t>A.2.4.13.3</t>
  </si>
  <si>
    <t>A.2.4.1</t>
  </si>
  <si>
    <t>FUT</t>
  </si>
  <si>
    <t>AUTORIZACION LEGAL</t>
  </si>
  <si>
    <t>SPC</t>
  </si>
  <si>
    <t>META CUATRENIO</t>
  </si>
  <si>
    <t>UNIDAD DE MEDIDA</t>
  </si>
  <si>
    <t>META VIGENCIA</t>
  </si>
  <si>
    <t>CODIGO META</t>
  </si>
  <si>
    <t>TIPO META</t>
  </si>
  <si>
    <t>PRESUPUESTO VIGENCIA</t>
  </si>
  <si>
    <t>CODIGO PLAN</t>
  </si>
  <si>
    <t>Acercamiento de la oferta institucional para el empoderamiento y la gestión con 4 Ferias institucionales durante el período de gobierno</t>
  </si>
  <si>
    <t>FERIAS</t>
  </si>
  <si>
    <t>PLAN OPERATIVO ANUAL DE INVERSIONES 2014</t>
  </si>
  <si>
    <t>META ACUMULADA A  31/08/2013</t>
  </si>
  <si>
    <t>Intereses Fondo de Orden Público y Seguridad Ciudadana</t>
  </si>
  <si>
    <t>SECRETARIA DE INTEGRACION REGIONAL</t>
  </si>
  <si>
    <t>TOTAL SECRETARIA DE INTEGRACION REGIONAL</t>
  </si>
  <si>
    <t>SECRETARIA DE TECNOLOGÍAS DE LA INFORMACIÓN Y LAS COMUNICACIONES - TICs</t>
  </si>
  <si>
    <t>TOTAL SECRETARIA DE TECNOLOGÍAS DE LA INFORMACIÓN Y LAS COMUNICACIONES - TICs</t>
  </si>
  <si>
    <t>Intereses multas por infracción y revisión</t>
  </si>
  <si>
    <t>SECRETARIA DE HACIENDA</t>
  </si>
  <si>
    <t>CENTRO GESTOR - 1106</t>
  </si>
  <si>
    <t>TOTAL SECRETARIA DE HACIENDA</t>
  </si>
  <si>
    <t>Recursos del Crédito</t>
  </si>
  <si>
    <t xml:space="preserve"> </t>
  </si>
  <si>
    <t>producto</t>
  </si>
  <si>
    <t>Implementar  en 40   Municipios prácticas de buen gobierno en el cuatrienio</t>
  </si>
  <si>
    <t>0</t>
  </si>
  <si>
    <t>Implementar 100% Sistema SEGER en el cuatrienio para  consulta y decisión oportuna</t>
  </si>
  <si>
    <t>Realizar por lo menos 8 encuestas en el cuatrienio de percepción ciudadana sobre gestión pública</t>
  </si>
  <si>
    <t>ENCUESTAS</t>
  </si>
  <si>
    <t>Implementar una ruta metodológica anual de rendición de cuentas para someter el avance de la gestión anual, Infancia y Adolescencia  en el acceso a derechos, al debate, argumentación y aporte de Consejo de Política Social, Asamblea, Ciudadanía y Municipios.</t>
  </si>
  <si>
    <t>RENDICIONES DE CUENTAS DE INFANCIA Y ADOLESCENCIA</t>
  </si>
  <si>
    <t>Implementar una ruta metodológica anual de rendición de cuentas para someter el avance de la gestión semestral, al debate, argumentación y aporte de Asamblea Departamental, ciudadanía y Consejo de Planeación Departamental para el mejoramiento de los resultados de la Gestión.</t>
  </si>
  <si>
    <t>RENDICIONES DE CUENTAS EXTERNAS</t>
  </si>
  <si>
    <t>Implementar una ruta metodológica anual de rendición de cuentas para someter el avance de la gestión trimestralmente , al debate, argumentación y aporte del Consejo de Gobierno para el mejoramiento de los resultados de la Gestión</t>
  </si>
  <si>
    <t>RENDICIONES DE CUENTAS INTERNAS</t>
  </si>
  <si>
    <t>Realizar 4 evaluaciones externas de resultados de la gestión.</t>
  </si>
  <si>
    <t>Realizar 8 publicaciones en el cuatrienio para divulgar mejores prácticas de S y E.</t>
  </si>
  <si>
    <t>Promover con capital semilla 20 proyectos productivos y de emprendimiento vinculando a jóvenes de extrema pobreza y reintegrados</t>
  </si>
  <si>
    <t>Diseñar e implementar, durante el periodo de gobierno, un programa de asesoría, acompañamiento, capacitación y seguimiento a artesanos en diseño, empaque, innovación, comercialización.</t>
  </si>
  <si>
    <t>SUBPROGRAMA - MARKETING TERRITORIAL</t>
  </si>
  <si>
    <t>Diseñar, registrar y posicionar una marca y/o sello institucionales del departamento  en el periodo de gobierno</t>
  </si>
  <si>
    <t>MARCA</t>
  </si>
  <si>
    <t>Disminuir progresivamente la accidentalidad fatal, llegando al finalizar el periodo de gobierno, a un número inferior de 369 muertes al año,</t>
  </si>
  <si>
    <t>OBJETIVO  - FORTALECIMIENTO INSTITUCIONAL PARA GENERAR VALOR DE LO PÚBLICO</t>
  </si>
  <si>
    <t>5</t>
  </si>
  <si>
    <t>PROYECTO - IMPLEMENTACIÓN DE PRÁCTICAS DE BIENESTAR ANIMAL Y MANEJO ADECUADO DE RECURSOS COMO APOYO AL DESARROLLO DE LAS CADENAS PRODUCTIVAS PECUARIAS EN EL DEPARTAMENTO DE CUNDINAMARCA</t>
  </si>
  <si>
    <t>Implementar la asistencia técnica en el marco de la atención del sistema general de seguridad social en salud en el 50% de los municipios y las demás empresas administradoras de planes de beneficios</t>
  </si>
  <si>
    <t>Incrementar en el cuatrienio en 2,000 pruebas la cobertura para el diagnóstico de VIH en el departamento</t>
  </si>
  <si>
    <t>PRUEBAS</t>
  </si>
  <si>
    <t>Incrementar en el cuatrienio, en 10 puntos porcentuales la  búsqueda de las y  los pacientes sintomáticos respiratorios para el diagnostico de la tuberculosis pulmonar</t>
  </si>
  <si>
    <t>Implementar en  los 116 municipios una estrategia de movilizacion social y gestión del plan de intervenciones colectivas para fortalecer los programas integrales de las etapas del ciclo vital</t>
  </si>
  <si>
    <t>A.22.9</t>
  </si>
  <si>
    <t>Desarrollar en el Departamento de Cundinamarca las acciones competentes de  Inspección, Vigilancia   y Control  en el 100% de los sujetos susceptibles de intervención  en el marco de la Prestación de servicios de salud,   Aseguramiento, Financiamiento del SGSSS y Salud Publica</t>
  </si>
  <si>
    <t>Apoyar la preparación anual del 100% de las y los deportistas de alto rendimiento convencionales y con discapacidad que participarán en los juegos nacionales 2012 y 2015</t>
  </si>
  <si>
    <t>Cofinanciar la elaboración de 21 estudios de vulnerabilidad sísmica y reforzamiento estructural actualizados a la Norma NSR 10 para hospitales de la Red Pública, que permitirán establecer las necesidades de intervención a las edificaciones hospitalarias.</t>
  </si>
  <si>
    <t>Construir, ampliar,  adecuar y mantener la infraestructura física del Centro Regulador de Urgencias, Emergencias y Desastres,  que incluya la adecuación de la Sala de Crisis de Emergencias y Desastres del Departamento.</t>
  </si>
  <si>
    <t>Mejorar durante el cuatrienio  las condiciones de capacidad tecnológica y científica del Sistema Único de Habilitación en el componente de infraestructura en el 25% de  las Empresas Sociales del Estado con énfasis en la baja complejidad.</t>
  </si>
  <si>
    <t>Construir, ampliar,  adecuar y mantener la infraestructura física de las áreas del Laboratorio de Salud Pública para cumplir con los estándares  de habilitación de acuerdo a la reglamentación del Ministerio de Salud.</t>
  </si>
  <si>
    <t>LABORATORIO</t>
  </si>
  <si>
    <t>PROYECTO - DIAGNOSTICO ESTUDIOS, DISEÑOS Y MEJORAMIENTO DE LOS PARQUES PRINCIPALES DEL   DEPARTAMENTO DE CUNDINAMARCA</t>
  </si>
  <si>
    <t>Realizar mantenimiento durante el periodo de gobierno  a 170 puentes localizados en la  red vial secundaria y terciaria</t>
  </si>
  <si>
    <t>PUENTES</t>
  </si>
  <si>
    <t>Construir durante el periodo de gobierno 130,000 M2 de Placa huellas en concreto en la red terciaria</t>
  </si>
  <si>
    <t>Apoyar, durante el periodo de gobierno, la construcción de 2 infraestructuras logísticas para la productividad.</t>
  </si>
  <si>
    <t>Recurso ordinario</t>
  </si>
  <si>
    <t>Rentas Cedidas</t>
  </si>
  <si>
    <t>ORDENANZA 128/12, ORDENANZA 185/13</t>
  </si>
  <si>
    <t>PROYECTO - ADMINISTRACIÓN  Y SOSTENIBILIDAD DEL SISTEMA DE GESTION FINANCIERO TERRITORIAL SGFT EN EL DEPARTAMENTO DE CUNDINAMARCA (Vigencias Futuras)</t>
  </si>
  <si>
    <t>PROYECTO - IMPLEMENTACION  CENTRO DE INTEGRACION Y DESARROLLO TERRITORIAL EN EL DEPARTAMENTO DE CUNDINAMARCA (Vigencias Futuras)</t>
  </si>
  <si>
    <t>Ascender en Cundinamarca el promedio nacional de penetración de internet (12,8%)</t>
  </si>
  <si>
    <t>8</t>
  </si>
  <si>
    <t>0,115%</t>
  </si>
  <si>
    <t>100</t>
  </si>
  <si>
    <t>52</t>
  </si>
  <si>
    <t>25</t>
  </si>
  <si>
    <t>PROYECTO - IMPLEMENTACIÓN DE MODELOS EDUCATIVOS PERTINENTES DE ACUERDO A LAS CONDICIONES DE LA POBLACION EN LAS INSTITUCIONES EDUCATIVAS OFICIALES  DEPARTAMENTO DE CUNDINAMARCA (Vigencias Futuras)</t>
  </si>
  <si>
    <t>PROYECTO - DESARROLLO DE LA ORGANIZACIÓN DE LA SECRETARIA DE EDUCACIÓN PARA LA ADECUADA DIRECCION, ADMINISTRACION, ASESORIA Y ASISTENCIA TECNICA PARA LA PRESTACION DEL SERVICIO EDUCATIVO CON CALIDAD, EFICIENCIA, EFECTIVIDAD Y OPORTUNIDAD. DEPARTAMENTO DE CUNDINAMARCA (Vigencias Futuras)</t>
  </si>
  <si>
    <t>A.1.1.7.</t>
  </si>
  <si>
    <t>PROYECTO - FORTALECIMIENTO AL ORDENAMIENTO TERRITORIAL LOCAL, SUBREGIONAL Y REGIONAL DEL DEPARTAMENTO DE CUNDINAMARCA (Vigencias Futuras)</t>
  </si>
  <si>
    <t>PROYECTO - CONSTRUCCIÓN ELABORACION DE LAS CUENTAS DE PRODUCCION Y DE LA MATRIZ INSUMO PRODUCTO PARA EL DEPARTAMENTO CUNDINAMARCA (Vigencias Futuras)</t>
  </si>
  <si>
    <t>9</t>
  </si>
  <si>
    <t>46</t>
  </si>
  <si>
    <t>Lograr que el 100% de los municipios del departamento (116) superen la calificación del 60% en el índice de desempeño municipal</t>
  </si>
  <si>
    <t>20</t>
  </si>
  <si>
    <t>53</t>
  </si>
  <si>
    <t>PROYECTO - FORTALECIMIENTO INTEGRAL A LA GESTION TERRITORIAL  DEL  DEPARTAMENTO Y LOS 116 MUNICIPIOS DE CUNDINAMARCA (Vigencias Futuras)</t>
  </si>
  <si>
    <t>PROYECTO - FORTALECIMIENTO DE LA GESTION INTEGRAL DE RESIDUOS SOLIDOS  EN EL  DEPARTAMENTO DE CUNDINAMARCA (Vigencias Futuras)</t>
  </si>
  <si>
    <t>6</t>
  </si>
  <si>
    <t>19</t>
  </si>
  <si>
    <t>0,3</t>
  </si>
  <si>
    <t>102</t>
  </si>
  <si>
    <t>ORDENANZA 128/12, LEY 769/02, ORDENANZA 185/13</t>
  </si>
  <si>
    <t>PROYECTO - FORMULACIÓN E IMPLEMENTACION DEL PLAN DE SEGURIDAD  VIAL  DEL DEPARTAMENTO DE CUNDINAMARCA (Vigencias Futuras)</t>
  </si>
  <si>
    <t>0,5</t>
  </si>
  <si>
    <t>PROYECTO - APORTES FINANCIEROS  A LA CONSTRUCCION  DE LA EXTENSION DE LA TRONCAL NORTE QUITO -SUR DEL SISTEMA TRANSMILENIO DENTRO DEL MUNICIPIO DE SOACHA CUNDINAMARCA A PARTIR DEL LIMITE CON CON EL DISTRITO  FASES  II y III MUNICIPIO DE SOCHA CUNDINAMARCA (Vigencias Futuras)</t>
  </si>
  <si>
    <t>PROYECTO - ASESORIA INTERVENTORIAS, CONSULTORIAS Y ACTIVIDADES PUBLICITARIAS ENCAMINADAS AL INCREMENTO DEL RECAUDO DE LOS SERVICIOS DE TRANSITO  EN  109 MUNICIPIOS  DE CUNDINAMARCA (Vigencias Futuras)</t>
  </si>
  <si>
    <t>3000</t>
  </si>
  <si>
    <t>ORDENANZAS 128/12 - 013/07, ORDENANZA 185/13</t>
  </si>
  <si>
    <t>PROYECTO - MEJORAMIENTO DE LA PRODUCTIVIDAD Y COMPETITIVIDAD DE LA CADENA DEL CACAO EN EL DEPARTAMENTO DE CUNDINAMARCA (Vigencias Futuras)</t>
  </si>
  <si>
    <t>PROYECTO - MEJORAMIENTO COMPETITIVIDAD DE LA CADENA LACTEA DEPARTAMENTO DE CUNDINAMARCA (Vigencias Futuras)</t>
  </si>
  <si>
    <t>0,10</t>
  </si>
  <si>
    <t>PROYECTO - IMPLEMENTACIÓN DE ESTRATEGIAS Y ACTIVIDADES DE DESARROLLO SOCIAL GESTION DEL CONOCIMIENTO  ACCESO Y USO DE TECNOLOGIAS EN EL DEPARTAMENTO DE CUNDINAMARCA (Vigencias Futuras)</t>
  </si>
  <si>
    <t>15</t>
  </si>
  <si>
    <t>17,5</t>
  </si>
  <si>
    <t>PROYECTO - RENOVACIÓN DE LA INFRAESTRUCTURA COMPUTACIONAL Y DE PROCESAMIENTO DE DATOS PARA EL DEPARTAMENTO DE CUNDINAMARCA Y SUS MUNICIPIOS (Vigencias Futuras)</t>
  </si>
  <si>
    <t>PROYECTO - IMPLEMENTACIÓN DE UNA RED SOCIAL DE DATOS EN  CUNDINAMARCA (Vigencias Futuras)</t>
  </si>
  <si>
    <t>207</t>
  </si>
  <si>
    <t>32</t>
  </si>
  <si>
    <t>PROYECTO - IMPLEMENTACIÓN DE SERVICIOS DE ACCESO A LAS TIC EN CUNDINAMARCA (Vigencias Futuras)</t>
  </si>
  <si>
    <t>PROYECTO - IMPLEMENTACIÓN DE SISTEMAS DE INFORMACION INTEGRALES EN  CUNDINAMARCA (Vigencias Futuras)</t>
  </si>
  <si>
    <t>0,45</t>
  </si>
  <si>
    <t>Reducir en el cuatrienio la prevalencia de desnutrición aguda en niños y niñas menores de 6 años a 3%</t>
  </si>
  <si>
    <t>PREVALENCIA DE DESNUTRICIÓN AGUDA</t>
  </si>
  <si>
    <t>Reducir en l cuatrienio la tasa de mortalidad de niños y niñas de 0 a 5 años a 14 por mil nacidos vivos</t>
  </si>
  <si>
    <t>2,32</t>
  </si>
  <si>
    <t>95</t>
  </si>
  <si>
    <t>30</t>
  </si>
  <si>
    <t>PROYECTO - IMPLEMENTACIÓN DEL MODELO DE GESTIÓN EN SALUD PARA LA PRIMERA INFANCIA  EN EL DEPARTAMENTO DE CUNDINAMARCA (Vigencias Futuras)</t>
  </si>
  <si>
    <t>0RDENANZA 128/12, ORDENANZA 185/13</t>
  </si>
  <si>
    <t>36</t>
  </si>
  <si>
    <t>PROYECTO - IMPLEMENTACIÓN DEL MODELO DE GESTIÓN EN SALUD PARA LA INFANCIA EN EL DEPARTAMENTO DE CUNDINAMARCA (Vigencias Futuras)</t>
  </si>
  <si>
    <t>ORDENANZA  128/12, ORDENANZA 185/13</t>
  </si>
  <si>
    <t>PROYECTO - IMPLEMENTACIÓN DEL MODELO DE GESTIÓN EN SALUD PARA LA  ADOLESCENCIA Y JUVENTUD EN EL DEPARTAMENTO DE CUNDINAMARCA (Vigencias Futuras)</t>
  </si>
  <si>
    <t>Lograr que anualmente el 35% de las y los jóvenes participen de dinámicas integrales (culturales, deportivas, ambientales, emprendimiento, educativas)</t>
  </si>
  <si>
    <t>35</t>
  </si>
  <si>
    <t>ORDENANZA 128/12, ORDENANZA 186/13</t>
  </si>
  <si>
    <t>ORDENANZA 128/12, ORDENANAZA 185/13</t>
  </si>
  <si>
    <t>41</t>
  </si>
  <si>
    <t>PROYECTO - IMPLEMENTACIÓN DEL MODELO DE GESTIÓN EN SALUD PARA ADULTOS Y ADULTAS EN EL DEPARTAMENTO DE CUNDINAMARCA (Vigencias Futuras)</t>
  </si>
  <si>
    <t>PROYECTO - IMPLEMENTACIÓN DEL MODELO DE GESTIÓN EN SALUD PARA LA VEJEZ EN EL DEPARTAMENTO DE CUNDINAMARCA (Vigencias Futuras)</t>
  </si>
  <si>
    <t>58</t>
  </si>
  <si>
    <t>PROYECTO - IMPLEMENTACIÓN DEL MODELO DE GESTIÓN EN PROMOCIÓN Y PREVENCIÓN PARA VICTIMAS DEL CONFLICTO ARMADO CON GARANTIA DE DERECHOS Y  POBLACIONES VULNERABLES EN EL DEPARTAMENTO DE CUNDINAMARCA (Vigencias Futuras)</t>
  </si>
  <si>
    <t>160</t>
  </si>
  <si>
    <t>0,40</t>
  </si>
  <si>
    <t>50</t>
  </si>
  <si>
    <t>132,800</t>
  </si>
  <si>
    <t>88,000</t>
  </si>
  <si>
    <t>0,15</t>
  </si>
  <si>
    <t>0,05</t>
  </si>
  <si>
    <t>Lograr que el 80% de los entes territoriales municipales, las entidades responsables de pago y la red contratada por el departamento mejoren los resultados en el aseguramiento y la prestación de servicios de salud</t>
  </si>
  <si>
    <t>500</t>
  </si>
  <si>
    <t>PROYECTO - IMPLEMENTACIÓN DEL MODELO DE GESTIÓN EN SALUD PARA LAS FAMILIAS FORJADORAS DE SOCIEDAD EN EL DEPARTAMENTO DE CUNDINAMARCA (Vigencias Futuras)</t>
  </si>
  <si>
    <t>PROYECTO - FORTALECIMIENTO A LA GESTION PARA EL ACCESO  DE LA PRESTACION DE SERVICIOS DE SALUD  EN EL DEPARTAMENTO DE CUNDINAMARCA (Vigencias Futuras)</t>
  </si>
  <si>
    <t>45</t>
  </si>
  <si>
    <t>PROYECTO - MEJORAMIENTO DE LOS ESTANDARES DE CALIDAD EN EL ASEGURAMIENTO Y LA PRESTACION DE LOS SERVICIOS DE SALUD, DE LA POBLACION DEL DEPARTAMENTO DE CUNDINAMARCA (Vigencias Futuras)</t>
  </si>
  <si>
    <t>PROYECTO - FORTALECIMIENTO DEL SISTEMA DE PREVENCION Y ATENCION DE URGENCIAS, EMERGENCIAS Y DESASTRES EN EL SECTOR SALUD DEL DEPARTAMNETO DE CUNDINAMARCA (Vigencias Futuras)</t>
  </si>
  <si>
    <t>PROYECTO - IMPLEMENTACIÓN DEL SISTEMA UNICO DE ACREDITACION EN ARTICULACION  CON EL SISTEMA  INTEGRADO DE GESTION  Y CONTROL EN LA SECRETARIA DE SALUD   DE CUNDINAMARCA (Vigencias Futuras)</t>
  </si>
  <si>
    <t>PROYECTO - FORTALECIMIENTO DEL PROGRAMA DE INSPECCION, VIGILANCIA Y CONTROL DE LA SECRETARIA DE SALUD DEL DEPARTAMENTO DE CUNDINAMARCA (Vigencias Futuras)</t>
  </si>
  <si>
    <t>PROYECTO - IMPLEMENTACIÓN DE UN SISTEMA INTEGRADO DE INFORMACION  EN LA  SECRETARIA DE SALUD DEL DEPARTAMENTO DE CUNDINAMARCA (Vigencias Futuras)</t>
  </si>
  <si>
    <t>PROYECTO - FORTALECIMIENTO A LAS INSTITUCIONES PRESTADORAS DE SERVICIOS DE SALUD DE LA RED PUBLICA  Y  A LA SECRETARIA DE SALUD DEL DEPARTAMENTO DE CUNDINAMARCA (Vigencias Futuras)</t>
  </si>
  <si>
    <t>PROYECTO - FORTALECIMIENTO DE LA GESTIÓN DE LA PLANEACIÓN ESTRATÉGICA Y ANÁLISIS DE POLÍTICAS PÚBLICAS  EN EL DEPARTAMENTO DE CUNDINAMARCA (Vigencias Futuras)</t>
  </si>
  <si>
    <t>PROYECTO - ESTUDIO REORGANIZACION Y REDISEÑO DE  LA OFERTA DE LAS EMPRESAS SOCIALES DEL ESTADO QUE INTEGRAN LA RED PUBLICA  DEL DEPARTAMENTO DE CUNDINAMARCA (Vigencias Futuras)</t>
  </si>
  <si>
    <t>PROYECTO - FORTALECIMIENTO DEL  SISTEMA OBLIGATORIO DE GARANTÍA DE LA CALIDAD EN  LAS INSTITUCIONES DE LA RED PÚBLICA   DEL DEPARTAMENTO DE CUNDINAMARCA (Vigencias Futuras)</t>
  </si>
  <si>
    <t>PROYECTO - IMPLEMENTACIÓN DE LAS POLITICAS DE DESARROLLO DE ADMINISTRACION EN EL SECTOR SALUD DEL DEPARTAMENTO DE CUNDINAMARCA (Vigencias Futuras)</t>
  </si>
  <si>
    <t>PROYECTO - FORTALECIMIENTO DE LA PARTICIPACION Y EL CONTROL SOCIAL EN SALUD EN EL DEPARTAMENTO DE CUNDINAMARCA (Vigencias Futuras)</t>
  </si>
  <si>
    <t>PROYECTO - IMPLEMENTACIÓN DE TECNOLOGIAS DE LA INFORMACION Y LA COMUNICACIÓN  PARA EL FORTALECIMIENTO DE LA RED HOSPITALARIA PUBLICA EN EL DEPARTAMENTO DE CUNDINAMARCA (Vigencias Futuras)</t>
  </si>
  <si>
    <t>70</t>
  </si>
  <si>
    <t>300</t>
  </si>
  <si>
    <t>0.40</t>
  </si>
  <si>
    <t>El presente proyecto de presupuesto refleja el avance acumulado de las metas a cargo de la entidad a 31/08/2013, así como la programación de la misma para la vigencia 2014</t>
  </si>
  <si>
    <t>0.60</t>
  </si>
  <si>
    <t>0.30</t>
  </si>
  <si>
    <t>0,2</t>
  </si>
  <si>
    <t>0,7</t>
  </si>
  <si>
    <t>12,5</t>
  </si>
  <si>
    <t>3,92</t>
  </si>
  <si>
    <t>14</t>
  </si>
  <si>
    <t>51</t>
  </si>
  <si>
    <t>18</t>
  </si>
  <si>
    <t xml:space="preserve">PROYECTO - RENOVACIÓN DE LA INFRAESTRUCTURA COMPUTACIONAL Y DE PROCESAMIENTO DE DATOS PARA EL DEPARTAMENTO DE CUNDINAMARCA Y SUS MUNICIPIOS </t>
  </si>
  <si>
    <t xml:space="preserve">PROYECTO - IMPLEMENTACIÓN DE SERVICIOS DE ACCESO A LAS TIC EN CUNDINAMARCA </t>
  </si>
  <si>
    <t>PROYECTO - IMPLEMENTACIÓN DE SISTEMAS DE INFORMACION INTEGRALES EN  CUNDINAMARCA</t>
  </si>
  <si>
    <t>PROYECTO - MEJORAMIENTO ADECUACION Y RESTAURACION DE ESPACIOS CULTURALES Y PATRIMONIALES EN EL DEPARTAMENTO DE CUNDINAMARCA (Vigencias Futuras)</t>
  </si>
  <si>
    <t>60</t>
  </si>
  <si>
    <t>PROYECTO - INVESTIGACIÓN  Y REALIZACION DE ACTIVIDADES PARA EL RESCATE DEL PATRIMONIO CULTURAL EN EL DEPARTAMENTO DE CUNDINAMARCA (Vigencias Futuras)</t>
  </si>
  <si>
    <t>OREDENANZA 128/12, ORDENANZA 185/13</t>
  </si>
  <si>
    <t>PROYECTO - IMPLEMENTACIÓN DE ESTRATEGIAS PARA LA PREVENCION DE LA DESERCION Y LA REPITENCIA ESCOLAR DEPARTAMENTO DE CUNDINAMARCA (Vigencias Futuras)</t>
  </si>
  <si>
    <t>PROYECTO - DESARROLLO DE UNA EDUCACION PERTINENTE PROMOVIENDO LA INVESTIGACION, INNOVACIÓN, CIENCIA Y TECNOLOGIA EN LAS INSTITUCIONES EDUCATIVAS OFICIALES DEPARTAMENTO DE CUNDINAMARCA (Vigencias Futuras)</t>
  </si>
  <si>
    <t>ORDENANZA 128/12, ORDENANZA 187/13</t>
  </si>
  <si>
    <t>PROYECTO - PROTECCIÓN A LAS VICTIMAS DEL CONFLICTO ARMADO DEL DEPARTAMENTO  CUNDINAMARCA (Vigencias Futuras)</t>
  </si>
  <si>
    <t>PROYECTO - IMPLEMENTACION SEGURIDAD URBANA Y RURAL DEPARTAMENTO DE CUNDINAMARCA (Vigencias Futuras)</t>
  </si>
  <si>
    <t>ORDENANZA 12812, LEY 1421/2010, ORDENANZA 187/13</t>
  </si>
  <si>
    <t>ORDENANZA 128/12, ORDENANZA 185/13, ORDENANZA 187/13</t>
  </si>
  <si>
    <t>PROYECTO - FORTALECIMIENTO DEL RECAUDO   DEPARTAMENTO DE CUNDINAMARCA (Vigencias Futuras)</t>
  </si>
  <si>
    <t>PROYECTO - DESARROLLO  Y GARANTIA DE  LAS OPORTUNIDADES Y CAPACIDADES DE BIENESTAR Y CALIDAD DE VIDA EN LOS Y LAS JÓVENES  DEL DEPARTAMENTO DE CUNDINAMARCA (Vigencias Futuras)</t>
  </si>
  <si>
    <t>PROYECTO - DESARROLLO INTEGRAL DE LA MUJER  EN CUNDINAMARCA (Vigencias Futuras)</t>
  </si>
  <si>
    <t>PROYECTO - APOYO Y ATENCION INTEGRAL A LAS FAMILIAS EN CONDICION DE VULNERABILIDAD CON INCLUSIÓN SOCIAL  EN EL DEPARTAMENTO DE CUNDINAMARCA (Vigencias Futuras)</t>
  </si>
  <si>
    <t>PROYECTO - APOYO Y ATENCION INTEGRAL A LAS PERSONAS EN CONDICION DE DISCAPACIDAD Y ENANISMO, SUS FAMILIAS Y/O CUIDADORES CON INCLUSIÓN SOCIAL EN EL DEPARTAMENTO DE CUNDINAMARCA (Vigencias Futuras)</t>
  </si>
  <si>
    <t>PROYECTO - APOYO PARA LA GESTION INTEGRAL DEL RIESGO DE DESASTRES EN EL DEPARTAMENTO DE CUNDINAMARCA (Vigencias Futuras)</t>
  </si>
  <si>
    <t>ORDENANZA 128/12 - LEY 1523/12- ORDENANZA 140/12, ORDENANZA 187/13</t>
  </si>
  <si>
    <t>1000</t>
  </si>
  <si>
    <t>200</t>
  </si>
  <si>
    <t>0.4</t>
  </si>
  <si>
    <t>0.5</t>
  </si>
  <si>
    <t>Participar en 4 eventos especializados como alternativas de promoción y comercialización minera durante el periodo 2012-2016</t>
  </si>
  <si>
    <t>0.20</t>
  </si>
  <si>
    <t>72,3</t>
  </si>
  <si>
    <t>ORDENANZA 128/12, ORDENANZA 185/13, CONPES 3681/2010</t>
  </si>
  <si>
    <t>600</t>
  </si>
  <si>
    <t>630</t>
  </si>
  <si>
    <t>1200</t>
  </si>
  <si>
    <t>0.10</t>
  </si>
  <si>
    <t>0.01</t>
  </si>
  <si>
    <t>1,5</t>
  </si>
  <si>
    <t>0,1</t>
  </si>
  <si>
    <t>0,70</t>
  </si>
  <si>
    <t>0,35</t>
  </si>
  <si>
    <t>1,3</t>
  </si>
  <si>
    <t>0,37</t>
  </si>
  <si>
    <t>0,02</t>
  </si>
  <si>
    <t>0,20</t>
  </si>
  <si>
    <t>Asegurar la implementación de tres fases de gobierno en línea (Información, interacción, transacción) en 60 municipios con el apoyo del gobierno nacional durante el período de gobierno</t>
  </si>
  <si>
    <t>800</t>
  </si>
  <si>
    <t>400</t>
  </si>
  <si>
    <t>180</t>
  </si>
  <si>
    <t>PROYECTO - FORTALECIMIENTO DEL PROGRAMA DE ALTOS LOGROS DEPORTIVOS EN EL DEPARTAMENTO DE CUNDINAMARCA (Vigencias Futuras)</t>
  </si>
  <si>
    <t>ORDENANZAS 128/12-038/09, ordenanza 187/13</t>
  </si>
  <si>
    <t>PROYECTO - CONSTRUCCIÓN MEJORAMIENTO REHABILITACION PAVIMENTACION Y MANTENIMIENTO DE LA RED VIAL SECUNDARIA Y TERCIARIA DEL DEPARTAMENTO DE CUNDINAMARCA (Vigencias Futuras)</t>
  </si>
  <si>
    <t xml:space="preserve">PROYECTO - IMPLEMENTACIÓN DE ESTRATEGIAS PARA LA PREVENCION DE LA DESERCION Y LA REPITENCIA ESCOLAR DEPARTAMENTO DE CUNDINAMARCA </t>
  </si>
  <si>
    <t>11</t>
  </si>
  <si>
    <t>PROYECTO - IMPLEMENTACIÓN DE MODELOS EDUCATIVOS PERTINENTES DE ACUERDO A LAS CONDICIONES DE LA POBLACION EN LAS INSTITUCIONES EDUCATIVAS OFICIALES  DEPARTAMENTO DE CUNDINAMARCA</t>
  </si>
  <si>
    <t>PROYECTO - DESARROLLO DE UNA EDUCACION PERTINENTE PROMOVIENDO LA INVESTIGACION, INNOVACIÓN, CIENCIA Y TECNOLOGIA EN LAS INSTITUCIONES EDUCATIVAS OFICIALES DEPARTAMENTO DE CUNDINAMARCA</t>
  </si>
  <si>
    <t>12</t>
  </si>
  <si>
    <t>1,45</t>
  </si>
  <si>
    <t>120</t>
  </si>
  <si>
    <t>1700</t>
  </si>
  <si>
    <t>1760</t>
  </si>
  <si>
    <t>0,65</t>
  </si>
  <si>
    <t>0,76</t>
  </si>
  <si>
    <t>0,115</t>
  </si>
  <si>
    <t>0,69</t>
  </si>
  <si>
    <t>Garantizar la atención integral al 100% de las víctimas y posibles víctimas de trata de personas que lo demanden</t>
  </si>
  <si>
    <t>PROYECTO - FORTALECIMIENTO Y RECUPERACIÓN DE LOS DERECHOS HUMANOS LA CONVIVENCIA Y LA JUSTICIA EN EL DEPARTAMENTO  CUNDINAMARCA</t>
  </si>
  <si>
    <t xml:space="preserve">Reducir en el cuatrienio en 50% las muertes por homicidios en niños y niñas de 0 a 5 años </t>
  </si>
  <si>
    <t>NUMERO DE HOMICIDIOS</t>
  </si>
  <si>
    <t>33</t>
  </si>
  <si>
    <t>Garantizar la atención integral al 100% de las y las adolescentes víctimas y posibles víctimas de trata de personas que lo demanden</t>
  </si>
  <si>
    <t>116</t>
  </si>
  <si>
    <t>2178</t>
  </si>
  <si>
    <t>39</t>
  </si>
  <si>
    <t>PROYECTO - IMPLEMENTACION SEGURIDAD URBANA Y RURAL DEPARTAMENTO DE CUNDINAMARCA</t>
  </si>
  <si>
    <t>501</t>
  </si>
  <si>
    <t>Coordinar con la policía el aumento del pie de fuerza en 15 municipios del departamento para garantizar la seguridad durante el período de gobierno</t>
  </si>
  <si>
    <t>540</t>
  </si>
  <si>
    <t>546</t>
  </si>
  <si>
    <t>Apoyar en 4 procesos electorales a los 116 municipios durante el período de gobierno</t>
  </si>
  <si>
    <t>NUMERO DE JORNADAS ELECTORALES</t>
  </si>
  <si>
    <t>A. 16.2</t>
  </si>
  <si>
    <t>PROYECTO- FORTALECIMIENTO INTEGRAL A LA GESTION TERRITORIAL DEL DEPARTAMENTO Y LOS 116 MUNICIPIOS DE CUNDINAMARCA</t>
  </si>
  <si>
    <t>SUBPROGRAMA- DERECHOS HUMANOS Y CONVIVENCIA</t>
  </si>
  <si>
    <t>513</t>
  </si>
  <si>
    <t>Realizar procesos de prevención en el 100% de los municipios afectados por trata de personas, reclutamiento forzado y minas antipersonas, promoviendo una cultura de la protección de derechos humanos durante el período de gobierno</t>
  </si>
  <si>
    <t>% MUNICIPIOS</t>
  </si>
  <si>
    <t>PROYECTO- FORTALECIMIENTO Y RECUPERACION DE LOS DERECHOS HUMANOS LA CONVIVENCIA Y LA JUSTICIA EN EL DEPARTAMENTO DE CUNDINAMARCA</t>
  </si>
  <si>
    <t>514</t>
  </si>
  <si>
    <t>Promover la formación de 116 comisarios de familia en la normatividad vigente con el fin de proporcionarles herramientas para fortalecer el cumplimiento de sus funciones, durante el actual período de gobierno</t>
  </si>
  <si>
    <t>COMISARIOS</t>
  </si>
  <si>
    <t>516</t>
  </si>
  <si>
    <t>Realizar procesos de formación en 116 municipios para la aplicación de política pública de derechos humanos: vida, integridad, libertad y seguridad, igualdad y no discriminación, cultura y educación, con el fin de garantizar a la comunidad sus derechos en el período de gobierno</t>
  </si>
  <si>
    <t>517</t>
  </si>
  <si>
    <t>Implementar una estrategia de promoción, respeto y reconocimiento de la diversidad y la reconciliación que beneficie los 116 municipios del departamento durante el período de gobierno</t>
  </si>
  <si>
    <t>ESTRATEGIA</t>
  </si>
  <si>
    <t>ORDENANZA 128/12 - LEY 1523/12- ORDENANZA 140/12</t>
  </si>
  <si>
    <t>PROYECTO - APOYO PARA LA GESTION INTEGRAL DEL RIESGO DE DESASTRES EN EL DEPARTAMENTO DE CUNDINAMARCA</t>
  </si>
  <si>
    <t>Realizar en el cuatrienio dos alianzas estrategicas con universidades para fortalecer las habilidades en lenguas extranjeras de las y los docentes</t>
  </si>
  <si>
    <t>Realizar en el cuatrienio 5 convenios de colaboración con colegios bilingues ubicados enel departamento</t>
  </si>
  <si>
    <t>SUBPROGRAMA - CIUDADANIA</t>
  </si>
  <si>
    <t>106</t>
  </si>
  <si>
    <t>Lograr la articipación activa de las y los adloescentes en los gobiernos escolares del 100% de las instituciones educativas cada año</t>
  </si>
  <si>
    <t>235</t>
  </si>
  <si>
    <t>Formar en el cuatrienio a 120 orientadores y orientadoras para vincular a 5000 familias en las que los padres sean sujetos activos del proceso formativo y educativo de sus hijos e hijas</t>
  </si>
  <si>
    <t>40</t>
  </si>
  <si>
    <t>77</t>
  </si>
  <si>
    <t>Mejorar en el cuatrienio los procesos educativos, formativos, pedagógicos e institucionales del 100% de las instituciones educativas de los municipios no certificados</t>
  </si>
  <si>
    <t>170</t>
  </si>
  <si>
    <t xml:space="preserve">INSTITUCIONES EDUCATIVAS URBANAS Y RURALES CONSTRUIDAS </t>
  </si>
  <si>
    <t>INSTITUCIONES EDUCATIVAS URBANAS Y RURALES AMPLIADAS Y ADECUADAS</t>
  </si>
  <si>
    <t>265</t>
  </si>
  <si>
    <t>Adecuar y mantener 6 espacios culturales en el cuatrienio</t>
  </si>
  <si>
    <t>PROYECTO - MEJORAMIENTO CONSERVACION ADECUACION Y CONSTRUCCION DE ESPACIOS ARTISTICOS CULTURALES Y PATRIMONIALES, RESTAURACION DE BIENES DE INTERES CULTURAL BIC EN EL DEPARTAMENTO DE CUNDINAMARCA</t>
  </si>
  <si>
    <t>6%</t>
  </si>
  <si>
    <t>2350</t>
  </si>
  <si>
    <t>2500</t>
  </si>
  <si>
    <t>73</t>
  </si>
  <si>
    <t>1170</t>
  </si>
  <si>
    <t>900</t>
  </si>
  <si>
    <t>ORDENANZAS 128/12, ORDENANZA 038/09, ORDENANZA 187/13</t>
  </si>
  <si>
    <t>Gestion</t>
  </si>
  <si>
    <t>7000</t>
  </si>
  <si>
    <t>43000</t>
  </si>
  <si>
    <t>A.9.2</t>
  </si>
  <si>
    <t>PROYECTO - CONSTRUCCIÓN MEJORAMIENTO REHABILITACION PAVIMENTACION Y MANTENIMIENTO DE LA RED VIAL SECUNDARIA Y TERCIARIA DEL DEPARTAMENTO DE CUNDINAMARCA</t>
  </si>
  <si>
    <t>2000</t>
  </si>
  <si>
    <t>Lograr en el cuatrenio que el 99% de los niños y niñas cuenten con registro civil con prioridad en la población en pobreza extrema</t>
  </si>
  <si>
    <t>99</t>
  </si>
  <si>
    <t>68</t>
  </si>
  <si>
    <t>Acompañar y asistir tecnicamente en el cuatrenio a los 116 municipios para la efectiva inclusión de temas de infancia en la agenda del consejo municipal de politica social Compos</t>
  </si>
  <si>
    <t>91</t>
  </si>
  <si>
    <t>28</t>
  </si>
  <si>
    <t>0,6</t>
  </si>
  <si>
    <t>109</t>
  </si>
  <si>
    <t>Garantizar anualmente que en el 50% de las sesiones del consejo de politica social departamental participen adolescentes</t>
  </si>
  <si>
    <t>0,50</t>
  </si>
  <si>
    <t>0,8</t>
  </si>
  <si>
    <t>Lograr que en el cuatrenio 20 jóvenes realicen intercambios academicos sociales y laborales en otros países</t>
  </si>
  <si>
    <t>JOVENES</t>
  </si>
  <si>
    <t>172</t>
  </si>
  <si>
    <t>Facilitar en el cuatrenio la expedición de libreta miliatr para 2000 adultos focalizados en la red unidas</t>
  </si>
  <si>
    <t>LIBRETAS</t>
  </si>
  <si>
    <t>1300</t>
  </si>
  <si>
    <t>193</t>
  </si>
  <si>
    <t>Tres espacios y/o dinámicas de participación promueven ciudadanía en los y las adultas mayores (consejo de politica social, comité de adulto mayor entre otros)</t>
  </si>
  <si>
    <t>Promover en el cuatrenio en 5660 familias la cultura del ahorro microfinanzas y la vinculación al sistema financiero</t>
  </si>
  <si>
    <t>Implementar y ejecutar un proyecto de reconocimiento y autoreconocimiento de la identidad etnica</t>
  </si>
  <si>
    <t>227</t>
  </si>
  <si>
    <t>PROYECTO - APOYO Y ATENCION INTEGRAL A LAS PERSONAS EN CONDICION DE DISCAPACIDAD Y ENANISMO, SUS FAMILIAS Y/O CUIDADORES CON INCLUSIÓN SOCIAL EN EL DEPARTAMENTO DE CUNDINAMARCA</t>
  </si>
  <si>
    <t>PROYECTO - APOYO INTEGRAL PARA LA GARANTIA DE LOS DERECHOS A LOS INFANTES Y ADOLESCENTES CUNDINAMARCA AL TAMAÑO DE LOS NIÑOS Y NIÑAS Y ADOLESCENTES DEL DEPARTAMENTO DE CUNDINAMARCA</t>
  </si>
  <si>
    <t>APOYO Y ATENCION INTEGRAL A LAS PERSONAS EN CONDICION DE DISCAPACIDAD Y ENANISMO, SUS FAMILIAS Y/O CUIDADORES CON INCLUSION SOCIAL EN EL DEPARTAMENTO DE CUNDINAMARCA</t>
  </si>
  <si>
    <t>PROYECTO- APOYO Y ATENCION INTEGRAL A LAS FAMILIAS EN CONDICION DE VULNERABILIDAD CON INCLUSION SOCIAL EN EL DEPARTAMENTO DE CUNDINAMARCA</t>
  </si>
  <si>
    <t>37</t>
  </si>
  <si>
    <t>Fomentar la participación incluyente con creación de 117 consejos constryctivos de mujer uno departamental y 116 municipales incidiendo y operando efectivamente en el desarrollo en los 4 años de Gobierno</t>
  </si>
  <si>
    <t>250</t>
  </si>
  <si>
    <t>113</t>
  </si>
  <si>
    <t>17</t>
  </si>
  <si>
    <t>325</t>
  </si>
  <si>
    <t>26</t>
  </si>
  <si>
    <t>Beneficiar durante el período de gobierno a 50 cundinamarqueses con la participación en intercambios académicos, empresariales</t>
  </si>
  <si>
    <t>INTERCAMBIOS</t>
  </si>
  <si>
    <t>PROGRAMA- CUNDINAMARCA CON ESPACIOS DE PARTICIPACION REAL</t>
  </si>
  <si>
    <t>556</t>
  </si>
  <si>
    <t>La institución departamental, los gobiernos territoriales y al comunidad involucra al 100% de las diferentes instancias de participación en el desarrollo de sus programas y proyectos generando corresponsabilidad con participación real y activa</t>
  </si>
  <si>
    <t>722</t>
  </si>
  <si>
    <t>VEEDURIAS CIUDADANAS</t>
  </si>
  <si>
    <t>619</t>
  </si>
  <si>
    <t>SUBPROGRAMA- VEEDURIAS CIUDADANAS Y MECANISMOS DE PARTICIPACION SOCIAL EN SALUD</t>
  </si>
  <si>
    <t>PROYECTO - ASISTENCIA Y CAPACITACION A LOS 116 MUNICIPIOS EN CONTROL SOCIAL DE LO PUBLICO EN EL DEPARTAMENTO DE CUNDINAMARCA</t>
  </si>
  <si>
    <t>Fomentar en el 100% de los municipios la creación de veedurías ciudadanas que fomenten el control y participación social, instrumento real y efectivo que ejerce vigilancia y control durante el período de gobierno</t>
  </si>
  <si>
    <t>NUMERO DE PROYECTOS, PROGRAMAS Y OBRAS CON VEEDURIAS CIUDADANAS</t>
  </si>
  <si>
    <t>1500</t>
  </si>
  <si>
    <t>PROYECTO- MEJORAMIENTO DE LA PRODUCTIVIDAD Y COMPETITIVIDAD DE LAS CADENAS DE HORTALIZAS Y LEGUMINOZAS EN EL DEPARTAMENTO DE CUNDINAMARCA</t>
  </si>
  <si>
    <t>PROYECTO- MEJORAMIENTO DE LA PRODUCTIVIDAD Y COMPETITIVIDAD DE LA CADENA PAPA EN EL DEPARTAMENTO DE CUNDINAMARCA</t>
  </si>
  <si>
    <t>PROYECTO- MEJORAMIENTO DE LA PRODUCTIVIDAD Y COMPETITIVIDAD DE LA CADENA CARNICA PROCINA EN EL DEPARTAMENTO DE CUNDINAMARCA</t>
  </si>
  <si>
    <t>150</t>
  </si>
  <si>
    <t>Incorporar el servicio público de asistencia tecnica agropecuaria a los programas de innovación de ciencia y tecnologia</t>
  </si>
  <si>
    <t>265,5</t>
  </si>
  <si>
    <t>Fortalecer programas de extensión rural y estrategias que propendan por desarrollo rural de las comunidades campesinas con 116 entidades prestadoras del servicio de asistencia tecnica agropecuaria durante el periodo de gobierno</t>
  </si>
  <si>
    <t>PROYECTO- MEJORAMIENTO DE LOS PROCESOS DE DESARROLLO TECNOLOGICO INVESTIGACION Y APLICACIÓN DE LA CIENCIA Y TECNOLOGIA EN LAS CADENAS PRODUCTIVAS AGROPECUARIAS DE 116 MUNICIPIOS DE CUNDINAMARCA</t>
  </si>
  <si>
    <t>210</t>
  </si>
  <si>
    <t>29</t>
  </si>
  <si>
    <t>Recursos Ordinarios</t>
  </si>
  <si>
    <t>7</t>
  </si>
  <si>
    <t>133</t>
  </si>
  <si>
    <t>341</t>
  </si>
  <si>
    <t>375</t>
  </si>
  <si>
    <t>625</t>
  </si>
  <si>
    <t>700</t>
  </si>
  <si>
    <t>23</t>
  </si>
  <si>
    <t>PROYECTO - INVESTIGACIÓN  Y REALIZACION DE ACTIVIDADES PARA EL RESCATE DEL PATRIMONIO CULTURAL EN EL DEPARTAMENTO DE CUNDINAMARCA</t>
  </si>
  <si>
    <t>90</t>
  </si>
  <si>
    <t>0,25</t>
  </si>
  <si>
    <t>OREDENANZA 128/12</t>
  </si>
  <si>
    <t xml:space="preserve">I.V.A. telefonia movil (Cultura)         </t>
  </si>
  <si>
    <t>PROYECTO - IMPLEMENTACION  CENTRO DE INTEGRACION Y DESARROLLO TERRITORIAL EN EL DEPARTAMENTO DE CUNDINAMARCA</t>
  </si>
  <si>
    <t xml:space="preserve">PROYECTO - ADMINISTRACIÓN  Y SOSTENIBILIDAD DEL SISTEMA DE GESTION FINANCIERO TERRITORIAL SGFT EN EL DEPARTAMENTO DE CUNDINAMARCA </t>
  </si>
  <si>
    <t>PROYECTO - FORTALECIMIENTO DEL RECAUDO   DEPARTAMENTO DE CUNDINAMARCA</t>
  </si>
  <si>
    <t xml:space="preserve">Fortalecer la gestión para el desarrollo territorial con 12 instrumentos de gestión del suelo, durante el período de gobierno </t>
  </si>
  <si>
    <t>PROYECTO - FORTALECIMIENTO AL ORDENAMIENTO TERRITORIAL LOCAL, SUBREGIONAL Y REGIONAL DEL DEPARTAMENTO DE CUNDINAMARCA</t>
  </si>
  <si>
    <t>PROGRAMA- MODERNIZACION DE LA GESTION</t>
  </si>
  <si>
    <t>SUBPROGRAMA- COOPERACION Y GESTION ESTRATEGICA PARA EL DESARROLLO</t>
  </si>
  <si>
    <t>542</t>
  </si>
  <si>
    <t>614</t>
  </si>
  <si>
    <t>3.8 calificación en capacidad de estión para resultados del desarrollo</t>
  </si>
  <si>
    <t>Consolidar por lo menos 4 espacios y mecanismos de gestión de orden interacional, nacional, regional o local con alianzas público privadas</t>
  </si>
  <si>
    <t>Gestión</t>
  </si>
  <si>
    <t>PROYECTO - IMPLEMENTACION, ACTUALIZACION DE LOS SISTEMAS DE INFORMACION GEOGRAFICA Y ESTADISTICA  DEL DEPARTAMENTO DE CUNDINAMARCA</t>
  </si>
  <si>
    <t>Generar en el 100% de municipios y entidades departamentales en el cuatrienio mayores capacidades de SyE</t>
  </si>
  <si>
    <t xml:space="preserve">MUNICIPIOS Y ENTIDADES </t>
  </si>
  <si>
    <t>1,1</t>
  </si>
  <si>
    <t>18,23</t>
  </si>
  <si>
    <t>3,94</t>
  </si>
  <si>
    <t>PROYECTO - IMPLEMENTACIÓN DEL MODELO DE GESTIÓN EN SALUD PARA LA PRIMERA INFANCIA  EN EL DEPARTAMENTO DE CUNDINAMARCA</t>
  </si>
  <si>
    <t>PROYECTO - IMPLEMENTACIÓN DEL MODELO DE GESTIÓN EN SALUD PARA LA INFANCIA EN EL DEPARTAMENTO DE CUNDINAMARCA</t>
  </si>
  <si>
    <t>9,9</t>
  </si>
  <si>
    <t>81</t>
  </si>
  <si>
    <t>Implementar, durante el cuatrenio, en 13 instituciones de educacion publica de basica secundaria la estrategia de colegios de calidad de vida en el marco de la transectorialidad</t>
  </si>
  <si>
    <t>13</t>
  </si>
  <si>
    <t>21</t>
  </si>
  <si>
    <t>PROYECTO - IMPLEMENTACIÓN DEL MODELO DE GESTIÓN EN SALUD PARA LA  ADOLESCENCIA Y JUVENTUD EN EL DEPARTAMENTO DE CUNDINAMARCA</t>
  </si>
  <si>
    <t>PROYECTO - IMPLEMENTACIÓN DEL MODELO DE GESTIÓN EN SALUD PARA ADULTOS Y ADULTAS EN EL DEPARTAMENTO DE CUNDINAMARCA</t>
  </si>
  <si>
    <t>PROYECTO - IMPLEMENTACIÓN DEL MODELO DE GESTIÓN EN SALUD PARA LA VEJEZ EN EL DEPARTAMENTO DE CUNDINAMARCA</t>
  </si>
  <si>
    <t>PROYECTO - IMPLEMENTACIÓN DEL MODELO DE GESTIÓN EN PROMOCIÓN Y PREVENCIÓN PARA VICTIMAS DEL CONFLICTO ARMADO CON GARANTIA DE DERECHOS Y  POBLACIONES VULNERABLES EN EL DEPARTAMENTO DE CUNDINAMARCA</t>
  </si>
  <si>
    <t>0,075</t>
  </si>
  <si>
    <t>7,5</t>
  </si>
  <si>
    <t>PROYECTO - IMPLEMENTACIÓN DEL MODELO DE GESTIÓN EN SALUD PARA LAS FAMILIAS FORJADORAS DE SOCIEDAD EN EL DEPARTAMENTO DE CUNDINAMARCA</t>
  </si>
  <si>
    <t>0,033</t>
  </si>
  <si>
    <t>Recursos Ordinario</t>
  </si>
  <si>
    <t>PROYECTO - FORTALECIMIENTO A LA GESTION PARA EL ACCESO  DE LA PRESTACION DE SERVICIOS DE SALUD  EN EL DEPARTAMENTO DE CUNDINAMARCA</t>
  </si>
  <si>
    <t>0,41</t>
  </si>
  <si>
    <t>PROYECTO - MEJORAMIENTO DE LOS ESTANDARES DE CALIDAD EN EL ASEGURAMIENTO Y LA PRESTACION DE LOS SERVICIOS DE SALUD, DE LA POBLACION DEL DEPARTAMENTO DE CUNDINAMARCA</t>
  </si>
  <si>
    <t>SUBPROGRAMA - SUPERACION DE LA POBREZA</t>
  </si>
  <si>
    <t>Monitoreara en al 60% de las empresas administradoras de planes de beneficio de la calidad de  la prestacion de sercios de salud a la poblacion asegurada</t>
  </si>
  <si>
    <t>PORCENTAJE DED EMPRESAS ADMINSITRADORAS DE PLANES DE SERVICIO MONITOREADAS</t>
  </si>
  <si>
    <t>SUBPROGRAMA- ATENCION INTEGRAL BASICA</t>
  </si>
  <si>
    <t>Promover la afiliación al SGSSS AL 100% de la población vicitma del conflicto armado que resida en el Departamento mediante la estrategia cundinamarca asegurada y saludable</t>
  </si>
  <si>
    <t>Implementar la asistencia tecnica en el marco de la atencion del sistema de seguridad social en salud en el 50% de los municipios de las empresas adminsitadoras de planes de beneficio</t>
  </si>
  <si>
    <t>PORCIENTO</t>
  </si>
  <si>
    <t>PROYECTO - FORTALECIMIENTO DEL SISTEMA DE PREVENCION Y ATENCION DE URGENCIAS, EMERGENCIAS Y DESASTRES EN EL SECTOR SALUD DEL DEPARTAMNETO DE CUNDINAMARCA</t>
  </si>
  <si>
    <t>PROYECTO- DESARROLLO DEL OBERVATORIO DE SALUD PUBLICA EN EL DEPARTAMENTO DE CUNDINAMARCA</t>
  </si>
  <si>
    <t>PROYECTO - IMPLEMENTACIÓN DEL SISTEMA UNICO DE ACREDITACION EN ARTICULACION  CON EL SISTEMA  INTEGRADO DE GESTION  Y CONTROL EN LA SECRETARIA DE SALUD   DE CUNDINAMARCA</t>
  </si>
  <si>
    <t>PROYECTO - FORTALECIMIENTO DEL PROGRAMA DE INSPECCION, VIGILANCIA Y CONTROL DE LA SECRETARIA DE SALUD DEL DEPARTAMENTO DE CUNDINAMARCA</t>
  </si>
  <si>
    <t>PROYECTO - IMPLEMENTACIÓN DE UN SISTEMA INTEGRADO DE INFORMACION  EN LA  SECRETARIA DE SALUD DEL DEPARTAMENTO DE CUNDINAMARCA</t>
  </si>
  <si>
    <t>PROYECTO - FORTALECIMIENTO A LAS INSTITUCIONES PRESTADORAS DE SERVICIOS DE SALUD DE LA RED PUBLICA  Y  A LA SECRETARIA DE SALUD DEL DEPARTAMENTO DE CUNDINAMARCA</t>
  </si>
  <si>
    <t>PROYECTO - FORTALECIMIENTO DE LA GESTIÓN DE LA PLANEACIÓN ESTRATÉGICA Y ANÁLISIS DE POLÍTICAS PÚBLICAS  EN EL DEPARTAMENTO DE CUNDINAMARCA</t>
  </si>
  <si>
    <t>PROYECTO - ESTUDIO REORGANIZACION Y REDISEÑO DE  LA OFERTA DE LAS EMPRESAS SOCIALES DEL ESTADO QUE INTEGRAN LA RED PUBLICA  DEL DEPARTAMENTO DE CUNDINAMARCA</t>
  </si>
  <si>
    <t>PROYECTO - FORTALECIMIENTO DEL  SISTEMA OBLIGATORIO DE GARANTÍA DE LA CALIDAD EN  LAS INSTITUCIONES DE LA RED PÚBLICA   DEL DEPARTAMENTO DE CUNDINAMARCA</t>
  </si>
  <si>
    <t>PROYECTO - IMPLEMENTACIÓN DE LAS POLITICAS DE DESARROLLO DE ADMINISTRACION EN EL SECTOR SALUD DEL DEPARTAMENTO DE CUNDINAMARCA</t>
  </si>
  <si>
    <t>PROYECTO - FORTALECIMIENTO DE LA PARTICIPACION Y EL CONTROL SOCIAL EN SALUD EN EL DEPARTAMENTO DE CUNDINAMARCA</t>
  </si>
  <si>
    <t>13,5</t>
  </si>
  <si>
    <t>ORDENANZA 12812</t>
  </si>
  <si>
    <t>Otros Ingresos salud</t>
  </si>
  <si>
    <t xml:space="preserve">ORDENANZA 128/12 </t>
  </si>
  <si>
    <t>Recursos Nación - Convenio Interdaministrativo convenio Min educacion Departamento de Cundinamarca PAE</t>
  </si>
  <si>
    <t>RENDIMIENTOS FINANCIEROS FEC</t>
  </si>
  <si>
    <t>RECURSOS NACION- CONVENIO COOPERCION UNIVERSIDAD PEDAGOGICA NACIONAL</t>
  </si>
  <si>
    <t>Impuesto de Registro Bomberos</t>
  </si>
  <si>
    <t>ORDENANZA 128/12 - ORDENANZA 28 DEL 2001</t>
  </si>
  <si>
    <t>PROYECTO - FORTALECIMIENTO A LAS INSTITUCIONES DEL SECTOR SALUD  DEL DEPARTAMENTO DE CUNDINAMARCA (Vigencia Futura)</t>
  </si>
  <si>
    <t>EXCEDENTES FINANCIEROS TASA IMPUESTO DE VEHICULOS</t>
  </si>
  <si>
    <t>EXCEDENTE FINANCIEROS IVA TELEFONIA MOVIL</t>
  </si>
  <si>
    <t xml:space="preserve">I.V.A. telefonia movil (Cultura)                         </t>
  </si>
  <si>
    <t>EXCEDENTES FINANCIEROS SGP EDUCACION CON SITUACION DE FONDOS</t>
  </si>
  <si>
    <t>EXCEDENTES FINANCIEROS (RENDIMIENTOS FINANCIEROS SGP EDUCACION) CON SITUACION DE FONDOS</t>
  </si>
  <si>
    <t>ORDENANZA 186/13</t>
  </si>
  <si>
    <t>Utilidades Empresa de Energía de Cundinamarca</t>
  </si>
  <si>
    <t>PROYECTO - FORTALECIMIENTO ADQUISICION, MANTENIMIENTO Y/O  ADECUACION DE BIENES INMUEBLES EN APOYO A  LOS PROYECTOS Y ACTIVIDADES EN BENEFICIO DE LA POBLACION CUNDINAMARQUESA  116 MUNICIPIOS DE CUNDINAMARCA (Vigencias Futuras)</t>
  </si>
  <si>
    <t>ORDENANZA 192/13</t>
  </si>
  <si>
    <t>PROYECTO - DESARROLLO DE LA ORGANIZACIÓN DE LA SECRETARIA DE EDUCACIÓN PARA LA ADECUADA DIRECCION, ADMINISTRACION, ASESORIA Y ASISTENCIA TECNICA PARA LA PRESTACION DEL SERVICIO EDUCATIVO CON CALIDAD, EFICIENCIA, EFECTIVIDAD Y OPORTUNIDAD. DEPARTAMENTO DE CUNDINAMARCA (Vigencias futuras)</t>
  </si>
  <si>
    <t>ORDENANZA 128/12 ORDENANZA 192/13</t>
  </si>
  <si>
    <t>PROYECTO - ADQUISICIÓN MAQUINARIA Y EQUIPO AGROPECUARIO Y AGROINDUSTRIAL PARA LA MODERNIZACION DEL SECTOR DEPARTAMENTO DE CUNDINAMARCA (Vigencia futura)</t>
  </si>
  <si>
    <t>ORDENANZAS 128/12 - 013/07 ordenanza 192/13</t>
  </si>
  <si>
    <t>PROYECTO - FORTALECIMIENTO  DEL SERVICIO DE ASISTENCIA TECNICA Y TRANSFERENCIA DE TECNOLOGIA E INNOVACION E IMPLEMENTACION DE TECNOLOGIAS AGROPECUARIAS SOSTENIBLES  116 MUNICIPIOS DE CUNDINAMARCA (Vigencias futuras)</t>
  </si>
  <si>
    <t>ORDENANZAS 128/12 - 013/07 ORDENANZA 192/2013</t>
  </si>
  <si>
    <t>ORDENANZAS 128/12 - 013/07- ORDENANZA 192/13</t>
  </si>
  <si>
    <t>PROYECTO - APOYO AL  ACCESO A FACTORES PRODUCTIVOS  DE LA POBLACION  RURAL EN LOS  MUNICIPIOS DE CUNDINAMARCA (Vigencias futuras)</t>
  </si>
  <si>
    <t>PROYECTO - DESARROLLO DE LA ORGANIZACIÓN DE LA SECRETARIA DE EDUCACIÓN PARA LA ADECUADA DIRECCION, ADMINISTRACION, ASESORIA Y ASISTENCIA TECNICA PARA LA PRESTACION DEL SERVICIO EDUCATIVO CON CALIDAD, EFICIENCIA, EFECTIVIDAD Y OPORTUNIDAD. DEPARTAMENTO DE CUNDINAMARCA (Vigencias futuras Excepcional)</t>
  </si>
  <si>
    <t>ORDENANZA 128/12 ordenanza 192/13</t>
  </si>
  <si>
    <t>PROYECTO - IMPLEMENTACIÓN PARA  EL USO DE LAS TIC EN LAS PRÁCTICAS PEDAGÓGICAS DE GESTIÓN ESCOLAR Y COMUNITARIA INSTITUCIONES EDUCATIVAS OFICIALES DEPARTAMENTO DE CUNDINAMARCA (Vigencias futuras Excepcionales )</t>
  </si>
  <si>
    <t>20,5</t>
  </si>
  <si>
    <t>PROYECTO - IMPLEMENTACIÓN PARA EL SEGUIMIENTO DE LA GESTION PUBLICA  EN EL DEPARTAMENTO DE CUNDINAMARCA (Vigencia Futura)</t>
  </si>
  <si>
    <t>PROYECTO - CONTROL Y PREVENCION A EMERGENCIAS DE LA INFRAESTRUCTURA VIAL EN EL DEPARTAMENTO DE CUNDINAMARCA (Vigencias Futuras)</t>
  </si>
  <si>
    <t>PROYECTO - CONSTRUCCIÓN MEJORAMIENTO REHABILITACION  Y MANTENIMIENTO DE PUENTES VEHICULARES PEATONALES Y MODULARES DESARMABLES EN LAS VIAS URBANAS SECUNDARIAS Y TERCIARIAS DEL DEPARTAMENTO DE CUNDINAMARCA (Vigencias Futuras)</t>
  </si>
  <si>
    <t xml:space="preserve">PROYECTO - FORTALECIMIENTO DE LA GESTION INTEGRAL DE RESIDUOS SOLIDOS  EN EL  DEPARTAMENTO DE CUNDINAMARCA </t>
  </si>
  <si>
    <t>PROYECTO - FORMULACIÓN E IMPLEMENTACION DEL PLAN DE SEGURIDAD  VIAL  DEL DEPARTAMENTO DE CUNDINAMARCA</t>
  </si>
  <si>
    <t>280</t>
  </si>
  <si>
    <t>Contribuir a la identificación, registro civil, tarjeta de identidad, cédulas de ciudadanía y libreta militar mayores de 25 años al 100% de la PVCA, focalizados y priorizados a través de la Red Unidos</t>
  </si>
  <si>
    <t>281</t>
  </si>
  <si>
    <t>Fortalecer durante el cuatrienio con dinámicas familiares al 100% de las familias focalizadas e identificadas por la Red Unidos con la problñemática de violencia intrafamiliar</t>
  </si>
  <si>
    <t>Remanentes hospitales liquidados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</si>
</sst>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0.0"/>
  </numFmts>
  <fonts count="14" x14ac:knownFonts="1">
    <font>
      <sz val="10"/>
      <color indexed="8"/>
      <name val="Arial"/>
      <family val="2"/>
    </font>
    <font>
      <b/>
      <sz val="10"/>
      <color indexed="8"/>
      <name val="Arial"/>
      <family val="2"/>
    </font>
    <font>
      <b/>
      <sz val="12"/>
      <color indexed="8"/>
      <name val="Arial"/>
      <family val="2"/>
    </font>
    <font>
      <b/>
      <sz val="11"/>
      <color indexed="8"/>
      <name val="Arial"/>
      <family val="2"/>
    </font>
    <font>
      <sz val="10"/>
      <color rgb="FFFF0000"/>
      <name val="Arial"/>
      <family val="2"/>
    </font>
    <font>
      <b/>
      <sz val="10"/>
      <color theme="1"/>
      <name val="Arial"/>
      <family val="2"/>
    </font>
    <font>
      <sz val="10"/>
      <color theme="1"/>
      <name val="Arial"/>
      <family val="2"/>
    </font>
    <font>
      <b/>
      <sz val="10"/>
      <name val="Arial"/>
      <family val="2"/>
    </font>
    <font>
      <sz val="10"/>
      <name val="Arial"/>
      <family val="2"/>
    </font>
    <font>
      <b/>
      <sz val="12"/>
      <color theme="1"/>
      <name val="Arial"/>
      <family val="2"/>
    </font>
    <font>
      <b/>
      <sz val="11"/>
      <color theme="1"/>
      <name val="Arial"/>
      <family val="2"/>
    </font>
    <font>
      <b/>
      <sz val="12"/>
      <name val="Arial"/>
      <family val="2"/>
    </font>
    <font>
      <b/>
      <sz val="11"/>
      <name val="Arial"/>
      <family val="2"/>
    </font>
    <font>
      <sz val="1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223">
    <xf numFmtId="0" fontId="0" fillId="0" borderId="0" xfId="0"/>
    <xf numFmtId="3" fontId="0" fillId="0" borderId="0" xfId="0" applyNumberFormat="1"/>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NumberFormat="1" applyAlignment="1">
      <alignment horizontal="justify" vertical="justify" wrapText="1"/>
    </xf>
    <xf numFmtId="3" fontId="1" fillId="0" borderId="0" xfId="0" applyNumberFormat="1" applyFont="1"/>
    <xf numFmtId="0" fontId="1" fillId="0" borderId="0" xfId="0" applyFont="1"/>
    <xf numFmtId="3"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1" fontId="0" fillId="0" borderId="0" xfId="0" applyNumberFormat="1" applyAlignment="1">
      <alignment horizontal="center" vertical="center"/>
    </xf>
    <xf numFmtId="49" fontId="0" fillId="2" borderId="0" xfId="0" applyNumberFormat="1" applyFill="1" applyAlignment="1">
      <alignment horizontal="center" vertical="center"/>
    </xf>
    <xf numFmtId="49" fontId="0" fillId="2" borderId="0" xfId="0" applyNumberFormat="1" applyFill="1" applyAlignment="1">
      <alignment horizontal="center" vertical="center" wrapText="1"/>
    </xf>
    <xf numFmtId="49" fontId="0" fillId="2" borderId="0" xfId="0" applyNumberFormat="1" applyFill="1"/>
    <xf numFmtId="0" fontId="0" fillId="2" borderId="0" xfId="0" applyFill="1"/>
    <xf numFmtId="49" fontId="0" fillId="2" borderId="0" xfId="0" applyNumberFormat="1" applyFill="1" applyAlignment="1">
      <alignment horizontal="justify" vertical="justify" wrapText="1"/>
    </xf>
    <xf numFmtId="3" fontId="1" fillId="2" borderId="0" xfId="0" applyNumberFormat="1" applyFont="1" applyFill="1"/>
    <xf numFmtId="3" fontId="0" fillId="2" borderId="0" xfId="0" applyNumberFormat="1" applyFill="1" applyAlignment="1">
      <alignment horizontal="center" vertical="center"/>
    </xf>
    <xf numFmtId="1" fontId="0" fillId="2" borderId="0" xfId="0" applyNumberFormat="1" applyFill="1" applyAlignment="1">
      <alignment horizontal="center" vertical="center"/>
    </xf>
    <xf numFmtId="49" fontId="1" fillId="2" borderId="0" xfId="0" applyNumberFormat="1" applyFont="1" applyFill="1" applyBorder="1" applyAlignment="1" applyProtection="1">
      <alignment horizontal="justify" vertical="justify" wrapText="1"/>
    </xf>
    <xf numFmtId="3" fontId="0" fillId="2" borderId="0" xfId="0" applyNumberFormat="1" applyFill="1"/>
    <xf numFmtId="49" fontId="3" fillId="2" borderId="0" xfId="0" applyNumberFormat="1" applyFont="1" applyFill="1" applyAlignment="1">
      <alignment horizontal="justify" vertical="justify" wrapText="1"/>
    </xf>
    <xf numFmtId="49" fontId="3" fillId="2" borderId="0" xfId="0" applyNumberFormat="1" applyFont="1" applyFill="1" applyAlignment="1">
      <alignment horizontal="center" vertical="center"/>
    </xf>
    <xf numFmtId="49" fontId="3" fillId="2" borderId="0" xfId="0" applyNumberFormat="1" applyFont="1" applyFill="1" applyAlignment="1">
      <alignment horizontal="center" vertical="center" wrapText="1"/>
    </xf>
    <xf numFmtId="3" fontId="3" fillId="2" borderId="0" xfId="0" applyNumberFormat="1" applyFont="1" applyFill="1"/>
    <xf numFmtId="49" fontId="2" fillId="2" borderId="0" xfId="0" applyNumberFormat="1" applyFont="1" applyFill="1" applyAlignment="1">
      <alignment horizontal="center" vertical="center" wrapText="1"/>
    </xf>
    <xf numFmtId="0" fontId="0" fillId="2" borderId="0" xfId="0" applyNumberFormat="1" applyFill="1" applyAlignment="1">
      <alignment horizontal="justify" vertical="justify" wrapText="1"/>
    </xf>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justify" vertical="justify" wrapText="1"/>
    </xf>
    <xf numFmtId="0" fontId="1" fillId="0" borderId="0" xfId="0" applyFont="1" applyAlignment="1">
      <alignment wrapText="1"/>
    </xf>
    <xf numFmtId="0" fontId="0" fillId="3" borderId="0" xfId="0" applyFill="1"/>
    <xf numFmtId="0" fontId="1" fillId="3" borderId="0" xfId="0" applyFont="1" applyFill="1"/>
    <xf numFmtId="0" fontId="1" fillId="3" borderId="0" xfId="0" applyFont="1" applyFill="1" applyAlignment="1">
      <alignment wrapText="1"/>
    </xf>
    <xf numFmtId="0" fontId="1" fillId="3" borderId="0" xfId="0" applyFont="1" applyFill="1" applyAlignment="1">
      <alignment horizontal="center" vertical="center"/>
    </xf>
    <xf numFmtId="0" fontId="0" fillId="3" borderId="0" xfId="0" applyFill="1" applyAlignment="1">
      <alignment horizontal="justify" vertical="justify" wrapText="1"/>
    </xf>
    <xf numFmtId="3" fontId="0" fillId="3" borderId="0" xfId="0" applyNumberFormat="1" applyFill="1"/>
    <xf numFmtId="3" fontId="1" fillId="3" borderId="0" xfId="0" applyNumberFormat="1" applyFont="1" applyFill="1"/>
    <xf numFmtId="3" fontId="1" fillId="3" borderId="0" xfId="0" applyNumberFormat="1" applyFont="1" applyFill="1" applyAlignment="1">
      <alignment horizontal="center" vertical="center"/>
    </xf>
    <xf numFmtId="3" fontId="1" fillId="0" borderId="0" xfId="0" applyNumberFormat="1" applyFont="1" applyAlignment="1">
      <alignment wrapText="1"/>
    </xf>
    <xf numFmtId="3" fontId="1" fillId="3" borderId="0" xfId="0" applyNumberFormat="1" applyFont="1" applyFill="1" applyAlignment="1">
      <alignment wrapText="1"/>
    </xf>
    <xf numFmtId="49" fontId="0" fillId="3" borderId="0" xfId="0" applyNumberFormat="1" applyFill="1" applyAlignment="1">
      <alignment horizontal="justify" vertical="justify" wrapText="1"/>
    </xf>
    <xf numFmtId="2" fontId="0" fillId="2" borderId="0" xfId="0" applyNumberFormat="1" applyFill="1" applyAlignment="1">
      <alignment horizontal="justify" vertical="justify" wrapText="1"/>
    </xf>
    <xf numFmtId="49" fontId="4" fillId="2" borderId="0" xfId="0" applyNumberFormat="1" applyFont="1" applyFill="1" applyAlignment="1">
      <alignment horizontal="justify" vertical="justify" wrapText="1"/>
    </xf>
    <xf numFmtId="49" fontId="5" fillId="3" borderId="0" xfId="0" applyNumberFormat="1" applyFont="1" applyFill="1" applyAlignment="1">
      <alignment horizontal="justify" vertical="justify" wrapText="1"/>
    </xf>
    <xf numFmtId="49" fontId="6" fillId="3" borderId="0" xfId="0" applyNumberFormat="1" applyFont="1" applyFill="1" applyAlignment="1">
      <alignment horizontal="justify" vertical="justify" wrapText="1"/>
    </xf>
    <xf numFmtId="49" fontId="0" fillId="3" borderId="0" xfId="0" applyNumberFormat="1" applyFont="1" applyFill="1" applyAlignment="1">
      <alignment horizontal="left" vertical="center" wrapText="1"/>
    </xf>
    <xf numFmtId="49" fontId="1" fillId="3" borderId="0" xfId="0" applyNumberFormat="1" applyFont="1" applyFill="1" applyAlignment="1">
      <alignment horizontal="justify" vertical="justify" wrapText="1"/>
    </xf>
    <xf numFmtId="49" fontId="1" fillId="3" borderId="0" xfId="0" applyNumberFormat="1" applyFont="1" applyFill="1" applyAlignment="1">
      <alignment horizontal="center" vertical="center"/>
    </xf>
    <xf numFmtId="49" fontId="1" fillId="3" borderId="0" xfId="0" applyNumberFormat="1" applyFont="1" applyFill="1" applyAlignment="1">
      <alignment horizontal="center" vertical="center" wrapText="1"/>
    </xf>
    <xf numFmtId="49" fontId="2" fillId="3" borderId="0" xfId="0" applyNumberFormat="1" applyFont="1" applyFill="1" applyAlignment="1">
      <alignment horizontal="center" vertical="center" wrapText="1"/>
    </xf>
    <xf numFmtId="49" fontId="0" fillId="3" borderId="0" xfId="0" applyNumberFormat="1" applyFill="1" applyAlignment="1">
      <alignment horizontal="center" vertical="center"/>
    </xf>
    <xf numFmtId="49" fontId="0" fillId="3" borderId="0" xfId="0" applyNumberFormat="1" applyFill="1" applyAlignment="1">
      <alignment horizontal="center" vertical="center" wrapText="1"/>
    </xf>
    <xf numFmtId="49" fontId="0" fillId="3" borderId="0" xfId="0" applyNumberFormat="1" applyFill="1"/>
    <xf numFmtId="3" fontId="0" fillId="3" borderId="0" xfId="0" applyNumberFormat="1" applyFill="1" applyAlignment="1">
      <alignment horizontal="center" vertical="center"/>
    </xf>
    <xf numFmtId="49" fontId="1" fillId="3" borderId="0" xfId="0" applyNumberFormat="1" applyFont="1" applyFill="1" applyBorder="1" applyAlignment="1" applyProtection="1">
      <alignment horizontal="justify" vertical="justify" wrapText="1"/>
    </xf>
    <xf numFmtId="3" fontId="0" fillId="3" borderId="0" xfId="0" applyNumberFormat="1" applyFont="1" applyFill="1" applyAlignment="1">
      <alignment horizontal="right" vertical="center"/>
    </xf>
    <xf numFmtId="49" fontId="3" fillId="3" borderId="0" xfId="0" applyNumberFormat="1" applyFont="1" applyFill="1" applyAlignment="1">
      <alignment horizontal="center" vertical="center" wrapText="1"/>
    </xf>
    <xf numFmtId="49" fontId="3" fillId="3" borderId="0" xfId="0" applyNumberFormat="1" applyFont="1" applyFill="1" applyAlignment="1">
      <alignment horizontal="center" vertical="center"/>
    </xf>
    <xf numFmtId="3" fontId="3" fillId="3" borderId="0" xfId="0" applyNumberFormat="1" applyFont="1" applyFill="1" applyAlignment="1">
      <alignment horizontal="right" vertical="center"/>
    </xf>
    <xf numFmtId="1" fontId="0" fillId="3" borderId="0" xfId="0" applyNumberFormat="1" applyFill="1" applyAlignment="1">
      <alignment horizontal="center" vertical="center"/>
    </xf>
    <xf numFmtId="1" fontId="1" fillId="3" borderId="0" xfId="0" applyNumberFormat="1" applyFont="1" applyFill="1" applyAlignment="1">
      <alignment horizontal="center" vertical="center"/>
    </xf>
    <xf numFmtId="49" fontId="3" fillId="3" borderId="0" xfId="0" applyNumberFormat="1" applyFont="1" applyFill="1" applyAlignment="1">
      <alignment horizontal="justify" vertical="justify" wrapText="1"/>
    </xf>
    <xf numFmtId="3" fontId="3" fillId="3" borderId="0" xfId="0" applyNumberFormat="1" applyFont="1" applyFill="1"/>
    <xf numFmtId="49" fontId="3" fillId="3" borderId="0" xfId="0" applyNumberFormat="1" applyFont="1" applyFill="1" applyAlignment="1">
      <alignment horizontal="justify" vertical="center" wrapText="1"/>
    </xf>
    <xf numFmtId="49" fontId="0" fillId="3" borderId="0" xfId="0" applyNumberFormat="1" applyFont="1" applyFill="1" applyBorder="1" applyAlignment="1" applyProtection="1">
      <alignment horizontal="justify" vertical="justify" wrapText="1"/>
    </xf>
    <xf numFmtId="49" fontId="3" fillId="3" borderId="0" xfId="0" applyNumberFormat="1" applyFont="1" applyFill="1" applyAlignment="1">
      <alignment horizontal="left" vertical="center" wrapText="1"/>
    </xf>
    <xf numFmtId="49" fontId="3" fillId="3" borderId="0" xfId="0" applyNumberFormat="1" applyFont="1" applyFill="1" applyAlignment="1">
      <alignment horizontal="left" vertical="center"/>
    </xf>
    <xf numFmtId="0" fontId="0" fillId="3" borderId="0" xfId="0" applyFill="1" applyAlignment="1">
      <alignment horizontal="center" vertical="center"/>
    </xf>
    <xf numFmtId="0" fontId="0" fillId="3" borderId="0" xfId="0" applyFill="1" applyAlignment="1">
      <alignment horizontal="center" vertical="center" wrapText="1"/>
    </xf>
    <xf numFmtId="0" fontId="1" fillId="3" borderId="0" xfId="0" applyFont="1" applyFill="1" applyAlignment="1">
      <alignment horizontal="center" vertical="center" wrapText="1"/>
    </xf>
    <xf numFmtId="0" fontId="1" fillId="0" borderId="0" xfId="0" applyFont="1" applyAlignment="1">
      <alignment horizontal="justify" vertical="justify" wrapText="1"/>
    </xf>
    <xf numFmtId="49" fontId="0" fillId="3" borderId="0" xfId="0" applyNumberFormat="1" applyFill="1" applyAlignment="1">
      <alignment vertical="center"/>
    </xf>
    <xf numFmtId="0" fontId="0" fillId="3" borderId="0" xfId="0" applyNumberFormat="1" applyFill="1" applyAlignment="1">
      <alignment horizontal="justify" vertical="justify" wrapText="1"/>
    </xf>
    <xf numFmtId="49" fontId="0" fillId="4" borderId="0" xfId="0" applyNumberFormat="1" applyFill="1" applyAlignment="1">
      <alignment horizontal="center" vertical="center" wrapText="1"/>
    </xf>
    <xf numFmtId="0" fontId="0" fillId="3" borderId="0" xfId="0" applyNumberFormat="1" applyFill="1" applyAlignment="1">
      <alignment horizontal="center" vertical="center"/>
    </xf>
    <xf numFmtId="3" fontId="1" fillId="3" borderId="0" xfId="0" applyNumberFormat="1" applyFont="1" applyFill="1" applyAlignment="1">
      <alignment horizontal="center" vertical="center" wrapText="1"/>
    </xf>
    <xf numFmtId="3" fontId="0" fillId="3" borderId="0" xfId="0" applyNumberFormat="1" applyFont="1" applyFill="1"/>
    <xf numFmtId="0" fontId="1" fillId="0" borderId="0" xfId="0" applyFont="1" applyAlignment="1">
      <alignment horizontal="center" vertical="center"/>
    </xf>
    <xf numFmtId="49" fontId="8" fillId="3" borderId="0" xfId="0" applyNumberFormat="1" applyFont="1" applyFill="1" applyAlignment="1">
      <alignment horizontal="justify" vertical="justify" wrapText="1"/>
    </xf>
    <xf numFmtId="49" fontId="7" fillId="3" borderId="0" xfId="0" applyNumberFormat="1" applyFont="1" applyFill="1" applyAlignment="1">
      <alignment horizontal="justify" vertical="justify" wrapText="1"/>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49" fontId="1" fillId="3" borderId="0" xfId="0" applyNumberFormat="1" applyFont="1" applyFill="1" applyAlignment="1">
      <alignment horizontal="center" vertical="justify" wrapText="1"/>
    </xf>
    <xf numFmtId="0" fontId="1" fillId="3" borderId="0" xfId="0" applyFont="1" applyFill="1" applyAlignment="1">
      <alignment horizontal="center" vertical="justify" wrapText="1"/>
    </xf>
    <xf numFmtId="49" fontId="0" fillId="3" borderId="0" xfId="0" applyNumberFormat="1" applyFont="1" applyFill="1" applyAlignment="1">
      <alignment horizontal="center" vertical="center"/>
    </xf>
    <xf numFmtId="49" fontId="0" fillId="3" borderId="0" xfId="0" applyNumberFormat="1" applyFont="1" applyFill="1" applyAlignment="1">
      <alignment horizontal="center" vertical="center" wrapText="1"/>
    </xf>
    <xf numFmtId="0" fontId="2" fillId="3" borderId="0" xfId="0" applyFont="1" applyFill="1" applyAlignment="1">
      <alignment vertical="center"/>
    </xf>
    <xf numFmtId="2" fontId="0" fillId="3" borderId="0" xfId="0" applyNumberFormat="1" applyFill="1" applyAlignment="1">
      <alignment horizontal="justify" vertical="justify" wrapText="1"/>
    </xf>
    <xf numFmtId="3" fontId="7" fillId="3" borderId="0" xfId="0" applyNumberFormat="1" applyFont="1" applyFill="1"/>
    <xf numFmtId="3" fontId="4" fillId="3" borderId="0" xfId="0" applyNumberFormat="1" applyFont="1" applyFill="1"/>
    <xf numFmtId="49" fontId="0" fillId="3" borderId="0" xfId="0" applyNumberFormat="1" applyFill="1" applyAlignment="1">
      <alignment horizontal="justify" vertical="center" wrapText="1"/>
    </xf>
    <xf numFmtId="0" fontId="1" fillId="3" borderId="0" xfId="0" applyFont="1" applyFill="1" applyAlignment="1">
      <alignment vertical="center"/>
    </xf>
    <xf numFmtId="0" fontId="1" fillId="3" borderId="0" xfId="0" applyFont="1" applyFill="1" applyAlignment="1">
      <alignment horizontal="justify" vertical="justify" wrapText="1"/>
    </xf>
    <xf numFmtId="0" fontId="1" fillId="0" borderId="0" xfId="0" applyFont="1" applyAlignment="1">
      <alignment horizontal="center" vertical="center"/>
    </xf>
    <xf numFmtId="0" fontId="1" fillId="3" borderId="0" xfId="0" applyFont="1" applyFill="1" applyAlignment="1">
      <alignment horizontal="center" vertical="center"/>
    </xf>
    <xf numFmtId="3" fontId="6" fillId="3" borderId="0" xfId="0" applyNumberFormat="1" applyFont="1" applyFill="1"/>
    <xf numFmtId="49" fontId="6" fillId="3" borderId="0" xfId="0" applyNumberFormat="1" applyFont="1" applyFill="1" applyAlignment="1">
      <alignment horizontal="center" vertical="center"/>
    </xf>
    <xf numFmtId="49" fontId="6" fillId="3" borderId="0" xfId="0" applyNumberFormat="1" applyFont="1" applyFill="1" applyAlignment="1">
      <alignment horizontal="center" vertical="center" wrapText="1"/>
    </xf>
    <xf numFmtId="1" fontId="6" fillId="3" borderId="0" xfId="0" applyNumberFormat="1" applyFont="1" applyFill="1" applyAlignment="1">
      <alignment horizontal="center" vertical="center"/>
    </xf>
    <xf numFmtId="0" fontId="6" fillId="3" borderId="0" xfId="0" applyFont="1" applyFill="1"/>
    <xf numFmtId="0" fontId="4" fillId="3" borderId="0" xfId="0" applyFont="1" applyFill="1" applyAlignment="1">
      <alignment horizontal="justify" vertical="justify" wrapText="1"/>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1" fillId="3" borderId="0" xfId="0" applyFont="1"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49" fontId="5" fillId="3" borderId="0" xfId="0" applyNumberFormat="1" applyFont="1" applyFill="1" applyAlignment="1">
      <alignment horizontal="center" vertical="center"/>
    </xf>
    <xf numFmtId="1" fontId="5" fillId="3" borderId="0" xfId="0" applyNumberFormat="1" applyFont="1" applyFill="1" applyAlignment="1">
      <alignment horizontal="center" vertical="center"/>
    </xf>
    <xf numFmtId="49" fontId="5" fillId="3" borderId="0" xfId="0" applyNumberFormat="1" applyFont="1" applyFill="1" applyAlignment="1">
      <alignment horizontal="center" vertical="center" wrapText="1"/>
    </xf>
    <xf numFmtId="3" fontId="5" fillId="3" borderId="0" xfId="0" applyNumberFormat="1" applyFont="1" applyFill="1" applyAlignment="1">
      <alignment horizontal="right" vertical="center"/>
    </xf>
    <xf numFmtId="49" fontId="9" fillId="3" borderId="0" xfId="0" applyNumberFormat="1" applyFont="1" applyFill="1" applyAlignment="1">
      <alignment horizontal="center" vertical="center" wrapText="1"/>
    </xf>
    <xf numFmtId="49" fontId="6" fillId="3" borderId="0" xfId="0" applyNumberFormat="1" applyFont="1" applyFill="1"/>
    <xf numFmtId="3" fontId="5" fillId="3" borderId="0" xfId="0" applyNumberFormat="1" applyFont="1" applyFill="1"/>
    <xf numFmtId="49" fontId="5" fillId="3" borderId="0" xfId="0" applyNumberFormat="1" applyFont="1" applyFill="1" applyBorder="1" applyAlignment="1" applyProtection="1">
      <alignment horizontal="justify" vertical="justify" wrapText="1"/>
    </xf>
    <xf numFmtId="3" fontId="6" fillId="3" borderId="0" xfId="0" applyNumberFormat="1" applyFont="1" applyFill="1" applyAlignment="1">
      <alignment horizontal="center" vertical="center"/>
    </xf>
    <xf numFmtId="49" fontId="6" fillId="3" borderId="0" xfId="0" applyNumberFormat="1" applyFont="1" applyFill="1" applyBorder="1" applyAlignment="1" applyProtection="1">
      <alignment horizontal="justify" vertical="justify" wrapText="1"/>
    </xf>
    <xf numFmtId="49" fontId="6" fillId="3" borderId="0" xfId="0" applyNumberFormat="1" applyFont="1" applyFill="1" applyAlignment="1">
      <alignment horizontal="justify" vertical="center" wrapText="1"/>
    </xf>
    <xf numFmtId="0" fontId="6" fillId="3" borderId="0" xfId="0" applyNumberFormat="1" applyFont="1" applyFill="1" applyAlignment="1">
      <alignment horizontal="justify" vertical="justify" wrapText="1"/>
    </xf>
    <xf numFmtId="1" fontId="6" fillId="3" borderId="0" xfId="0" applyNumberFormat="1" applyFont="1" applyFill="1" applyAlignment="1">
      <alignment horizontal="justify" vertical="justify" wrapText="1"/>
    </xf>
    <xf numFmtId="49" fontId="10" fillId="3" borderId="0" xfId="0" applyNumberFormat="1" applyFont="1" applyFill="1" applyAlignment="1">
      <alignment horizontal="center" vertical="justify" wrapText="1"/>
    </xf>
    <xf numFmtId="49" fontId="10" fillId="3" borderId="0" xfId="0" applyNumberFormat="1" applyFont="1" applyFill="1" applyAlignment="1">
      <alignment horizontal="center" vertical="center"/>
    </xf>
    <xf numFmtId="49" fontId="10" fillId="3" borderId="0" xfId="0" applyNumberFormat="1" applyFont="1" applyFill="1" applyAlignment="1">
      <alignment horizontal="center" vertical="center" wrapText="1"/>
    </xf>
    <xf numFmtId="3" fontId="10" fillId="3" borderId="0" xfId="0" applyNumberFormat="1" applyFont="1" applyFill="1"/>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justify" vertical="justify" wrapText="1"/>
    </xf>
    <xf numFmtId="0" fontId="0" fillId="0" borderId="0" xfId="0" applyFill="1" applyAlignment="1">
      <alignment horizontal="center" vertical="center" wrapText="1"/>
    </xf>
    <xf numFmtId="0" fontId="0" fillId="0" borderId="0" xfId="0" applyFill="1"/>
    <xf numFmtId="49" fontId="0" fillId="0" borderId="0" xfId="0" applyNumberFormat="1" applyFill="1" applyAlignment="1">
      <alignment horizontal="center" vertical="center"/>
    </xf>
    <xf numFmtId="1" fontId="0" fillId="0" borderId="0" xfId="0" applyNumberFormat="1" applyFill="1" applyAlignment="1">
      <alignment horizontal="center" vertical="center"/>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3" fontId="3" fillId="0" borderId="0" xfId="0" applyNumberFormat="1" applyFont="1" applyFill="1"/>
    <xf numFmtId="49" fontId="2" fillId="0" borderId="0" xfId="0" applyNumberFormat="1" applyFont="1" applyFill="1" applyAlignment="1">
      <alignment horizontal="center" vertical="center" wrapText="1"/>
    </xf>
    <xf numFmtId="49" fontId="0" fillId="0" borderId="0" xfId="0" applyNumberFormat="1" applyFill="1" applyAlignment="1">
      <alignment horizontal="center" vertical="center" wrapText="1"/>
    </xf>
    <xf numFmtId="49" fontId="0" fillId="0" borderId="0" xfId="0" applyNumberFormat="1" applyFill="1"/>
    <xf numFmtId="49" fontId="0" fillId="0" borderId="0" xfId="0" applyNumberFormat="1" applyFill="1" applyAlignment="1">
      <alignment horizontal="justify" vertical="justify" wrapText="1"/>
    </xf>
    <xf numFmtId="49" fontId="1" fillId="0" borderId="0" xfId="0" applyNumberFormat="1" applyFont="1" applyFill="1" applyBorder="1" applyAlignment="1" applyProtection="1">
      <alignment horizontal="justify" vertical="justify" wrapText="1"/>
    </xf>
    <xf numFmtId="3" fontId="1" fillId="0" borderId="0" xfId="0" applyNumberFormat="1" applyFont="1" applyFill="1"/>
    <xf numFmtId="3" fontId="0" fillId="0" borderId="0" xfId="0" applyNumberFormat="1" applyFill="1" applyAlignment="1">
      <alignment horizontal="center" vertical="center"/>
    </xf>
    <xf numFmtId="3" fontId="0" fillId="0" borderId="0" xfId="0" applyNumberFormat="1" applyFill="1"/>
    <xf numFmtId="49" fontId="3" fillId="0" borderId="0" xfId="0" applyNumberFormat="1" applyFont="1" applyFill="1" applyAlignment="1">
      <alignment horizontal="justify" vertical="justify" wrapText="1"/>
    </xf>
    <xf numFmtId="0" fontId="0" fillId="0" borderId="0" xfId="0" applyNumberFormat="1" applyFill="1" applyAlignment="1">
      <alignment horizontal="justify" vertical="justify"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justify" vertical="justify" wrapText="1"/>
    </xf>
    <xf numFmtId="0" fontId="6" fillId="0" borderId="0" xfId="0" applyFont="1" applyFill="1" applyAlignment="1">
      <alignment horizontal="center" vertical="center" wrapText="1"/>
    </xf>
    <xf numFmtId="0" fontId="6" fillId="0" borderId="0" xfId="0" applyFont="1" applyFill="1"/>
    <xf numFmtId="49" fontId="6" fillId="0" borderId="0" xfId="0" applyNumberFormat="1" applyFont="1" applyFill="1" applyAlignment="1">
      <alignment horizontal="center" vertical="center"/>
    </xf>
    <xf numFmtId="1" fontId="6" fillId="0" borderId="0" xfId="0" applyNumberFormat="1" applyFont="1" applyFill="1" applyAlignment="1">
      <alignment horizontal="center" vertical="center"/>
    </xf>
    <xf numFmtId="49" fontId="10" fillId="0" borderId="0" xfId="0" applyNumberFormat="1" applyFont="1" applyFill="1" applyAlignment="1">
      <alignment horizontal="justify" vertical="justify" wrapText="1"/>
    </xf>
    <xf numFmtId="49" fontId="10" fillId="0" borderId="0" xfId="0" applyNumberFormat="1" applyFont="1" applyFill="1" applyAlignment="1">
      <alignment horizontal="center" vertical="center"/>
    </xf>
    <xf numFmtId="49" fontId="10" fillId="0" borderId="0" xfId="0" applyNumberFormat="1" applyFont="1" applyFill="1" applyAlignment="1">
      <alignment horizontal="center" vertical="center" wrapText="1"/>
    </xf>
    <xf numFmtId="3" fontId="10" fillId="0" borderId="0" xfId="0" applyNumberFormat="1" applyFont="1" applyFill="1"/>
    <xf numFmtId="49" fontId="9"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49" fontId="6" fillId="0" borderId="0" xfId="0" applyNumberFormat="1" applyFont="1" applyFill="1"/>
    <xf numFmtId="49" fontId="6" fillId="0" borderId="0" xfId="0" applyNumberFormat="1" applyFont="1" applyFill="1" applyAlignment="1">
      <alignment horizontal="justify" vertical="justify" wrapText="1"/>
    </xf>
    <xf numFmtId="49" fontId="5" fillId="0" borderId="0" xfId="0" applyNumberFormat="1" applyFont="1" applyFill="1" applyBorder="1" applyAlignment="1" applyProtection="1">
      <alignment horizontal="justify" vertical="justify" wrapText="1"/>
    </xf>
    <xf numFmtId="3" fontId="5" fillId="0" borderId="0" xfId="0" applyNumberFormat="1" applyFont="1" applyFill="1"/>
    <xf numFmtId="3" fontId="6" fillId="0" borderId="0" xfId="0" applyNumberFormat="1" applyFont="1" applyFill="1" applyAlignment="1">
      <alignment horizontal="center" vertical="center"/>
    </xf>
    <xf numFmtId="3" fontId="6" fillId="0" borderId="0" xfId="0" applyNumberFormat="1" applyFont="1" applyFill="1"/>
    <xf numFmtId="49" fontId="6" fillId="0" borderId="0" xfId="0" applyNumberFormat="1" applyFont="1" applyFill="1" applyAlignment="1">
      <alignment horizontal="justify" vertical="center" wrapText="1"/>
    </xf>
    <xf numFmtId="49"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wrapText="1"/>
    </xf>
    <xf numFmtId="0" fontId="8" fillId="3" borderId="0" xfId="0" applyFont="1" applyFill="1" applyAlignment="1">
      <alignment horizontal="justify" vertical="justify" wrapText="1"/>
    </xf>
    <xf numFmtId="0" fontId="7" fillId="3" borderId="0" xfId="0" applyFont="1" applyFill="1" applyAlignment="1">
      <alignment horizontal="center" vertical="center" wrapText="1"/>
    </xf>
    <xf numFmtId="49" fontId="11" fillId="3" borderId="0" xfId="0" applyNumberFormat="1" applyFont="1" applyFill="1" applyAlignment="1">
      <alignment horizontal="center" vertical="center" wrapText="1"/>
    </xf>
    <xf numFmtId="49" fontId="7" fillId="3" borderId="0" xfId="0" applyNumberFormat="1" applyFont="1" applyFill="1" applyBorder="1" applyAlignment="1" applyProtection="1">
      <alignment horizontal="justify" vertical="justify" wrapText="1"/>
    </xf>
    <xf numFmtId="49" fontId="8" fillId="3" borderId="0" xfId="0" applyNumberFormat="1" applyFont="1" applyFill="1" applyAlignment="1">
      <alignment horizontal="justify" vertical="center" wrapText="1"/>
    </xf>
    <xf numFmtId="0" fontId="8" fillId="3" borderId="0" xfId="0" applyFont="1" applyFill="1"/>
    <xf numFmtId="0" fontId="8" fillId="3" borderId="0" xfId="0" applyNumberFormat="1" applyFont="1" applyFill="1" applyAlignment="1">
      <alignment horizontal="justify" vertical="justify" wrapText="1"/>
    </xf>
    <xf numFmtId="49" fontId="8" fillId="3" borderId="0" xfId="0" applyNumberFormat="1" applyFont="1" applyFill="1" applyBorder="1" applyAlignment="1" applyProtection="1">
      <alignment horizontal="justify" vertical="justify" wrapText="1"/>
    </xf>
    <xf numFmtId="49" fontId="12" fillId="3" borderId="0" xfId="0" applyNumberFormat="1" applyFont="1" applyFill="1" applyAlignment="1">
      <alignment horizontal="justify" vertical="justify" wrapText="1"/>
    </xf>
    <xf numFmtId="0" fontId="7" fillId="3" borderId="0" xfId="0" applyFont="1" applyFill="1" applyAlignment="1">
      <alignment horizontal="justify" vertical="justify" wrapText="1"/>
    </xf>
    <xf numFmtId="49" fontId="10" fillId="3" borderId="0" xfId="0" applyNumberFormat="1" applyFont="1" applyFill="1" applyAlignment="1">
      <alignment horizontal="justify" vertical="justify" wrapText="1"/>
    </xf>
    <xf numFmtId="0" fontId="6" fillId="3" borderId="0" xfId="0" applyFont="1" applyFill="1" applyAlignment="1">
      <alignment horizontal="justify" vertical="justify" wrapText="1"/>
    </xf>
    <xf numFmtId="0" fontId="6" fillId="0" borderId="0" xfId="0" applyFont="1" applyAlignment="1">
      <alignment horizontal="justify" vertical="justify" wrapText="1"/>
    </xf>
    <xf numFmtId="3" fontId="8" fillId="3" borderId="0" xfId="0" applyNumberFormat="1" applyFont="1" applyFill="1"/>
    <xf numFmtId="0" fontId="1" fillId="3" borderId="0" xfId="0" applyFont="1" applyFill="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2" fillId="3" borderId="0" xfId="0" applyFont="1" applyFill="1" applyAlignment="1">
      <alignment horizontal="center" vertical="center"/>
    </xf>
    <xf numFmtId="49" fontId="0" fillId="3" borderId="0" xfId="0" applyNumberFormat="1" applyFill="1" applyAlignment="1">
      <alignment horizontal="left" vertical="center"/>
    </xf>
    <xf numFmtId="49" fontId="8" fillId="3" borderId="0" xfId="0" applyNumberFormat="1" applyFont="1" applyFill="1" applyAlignment="1">
      <alignment horizontal="center" vertical="center"/>
    </xf>
    <xf numFmtId="49" fontId="8" fillId="3" borderId="0" xfId="0" applyNumberFormat="1" applyFont="1" applyFill="1" applyAlignment="1">
      <alignment horizontal="center" vertical="center" wrapText="1"/>
    </xf>
    <xf numFmtId="0" fontId="8" fillId="0" borderId="0" xfId="0" applyFont="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center" vertical="center" wrapText="1"/>
    </xf>
    <xf numFmtId="49" fontId="8" fillId="3" borderId="0" xfId="0" applyNumberFormat="1" applyFont="1" applyFill="1"/>
    <xf numFmtId="1" fontId="8" fillId="3" borderId="0" xfId="0" applyNumberFormat="1" applyFont="1" applyFill="1" applyAlignment="1">
      <alignment horizontal="center" vertical="center"/>
    </xf>
    <xf numFmtId="3" fontId="8" fillId="3" borderId="0" xfId="0" applyNumberFormat="1" applyFont="1" applyFill="1" applyAlignment="1">
      <alignment horizontal="center" vertical="center"/>
    </xf>
    <xf numFmtId="0" fontId="8" fillId="3" borderId="0" xfId="0" applyNumberFormat="1" applyFont="1" applyFill="1" applyAlignment="1">
      <alignment horizontal="center" vertical="center"/>
    </xf>
    <xf numFmtId="3" fontId="8" fillId="3" borderId="0" xfId="0" applyNumberFormat="1" applyFont="1" applyFill="1" applyAlignment="1">
      <alignment vertical="center"/>
    </xf>
    <xf numFmtId="3" fontId="8" fillId="3" borderId="0" xfId="0" applyNumberFormat="1" applyFont="1" applyFill="1" applyAlignment="1">
      <alignment horizontal="right" vertical="center"/>
    </xf>
    <xf numFmtId="49" fontId="13" fillId="3" borderId="0" xfId="0" applyNumberFormat="1" applyFont="1" applyFill="1" applyAlignment="1">
      <alignment horizontal="center" vertical="center"/>
    </xf>
    <xf numFmtId="49" fontId="13" fillId="3" borderId="0" xfId="0" applyNumberFormat="1" applyFont="1" applyFill="1" applyAlignment="1">
      <alignment horizontal="center" vertical="center" wrapText="1"/>
    </xf>
    <xf numFmtId="3" fontId="12" fillId="3" borderId="0" xfId="0" applyNumberFormat="1" applyFont="1" applyFill="1"/>
    <xf numFmtId="49" fontId="8" fillId="3" borderId="0" xfId="0" applyNumberFormat="1" applyFont="1" applyFill="1" applyAlignment="1">
      <alignment horizontal="left" vertical="center"/>
    </xf>
    <xf numFmtId="49" fontId="8" fillId="3" borderId="0" xfId="0" applyNumberFormat="1" applyFont="1" applyFill="1" applyAlignment="1">
      <alignment horizontal="left" vertical="center"/>
    </xf>
    <xf numFmtId="0" fontId="7" fillId="3" borderId="0" xfId="0" applyFont="1" applyFill="1" applyAlignment="1">
      <alignment horizontal="center" vertical="center"/>
    </xf>
    <xf numFmtId="164" fontId="8" fillId="3" borderId="0" xfId="0" applyNumberFormat="1" applyFont="1" applyFill="1" applyAlignment="1">
      <alignment horizontal="justify" vertical="justify" wrapText="1"/>
    </xf>
    <xf numFmtId="49" fontId="12" fillId="3" borderId="0" xfId="0" applyNumberFormat="1" applyFont="1" applyFill="1" applyAlignment="1">
      <alignment horizontal="center" vertical="center" wrapText="1"/>
    </xf>
    <xf numFmtId="49" fontId="12" fillId="3" borderId="0" xfId="0" applyNumberFormat="1" applyFont="1" applyFill="1" applyAlignment="1">
      <alignment horizontal="center" vertical="center"/>
    </xf>
    <xf numFmtId="0" fontId="6" fillId="3" borderId="0" xfId="0" applyFont="1" applyFill="1" applyAlignment="1">
      <alignment horizontal="center" vertical="center"/>
    </xf>
    <xf numFmtId="0" fontId="11" fillId="3" borderId="0" xfId="0" applyFont="1" applyFill="1" applyAlignment="1">
      <alignment horizontal="center" vertical="center"/>
    </xf>
    <xf numFmtId="49" fontId="11" fillId="3" borderId="0" xfId="0" applyNumberFormat="1" applyFont="1" applyFill="1" applyAlignment="1">
      <alignment horizontal="center" wrapText="1"/>
    </xf>
    <xf numFmtId="165" fontId="8" fillId="3" borderId="0" xfId="0" applyNumberFormat="1" applyFont="1" applyFill="1" applyAlignment="1">
      <alignment horizontal="center" vertical="center"/>
    </xf>
    <xf numFmtId="2" fontId="8" fillId="3" borderId="0" xfId="0" applyNumberFormat="1" applyFont="1" applyFill="1" applyAlignment="1">
      <alignment horizontal="justify" vertical="justify" wrapText="1"/>
    </xf>
    <xf numFmtId="49" fontId="7" fillId="3" borderId="0" xfId="0" applyNumberFormat="1" applyFont="1" applyFill="1" applyAlignment="1">
      <alignment horizontal="center" vertical="center"/>
    </xf>
    <xf numFmtId="0" fontId="8" fillId="3" borderId="0" xfId="0" quotePrefix="1" applyFont="1" applyFill="1" applyAlignment="1">
      <alignment horizontal="center" vertical="center"/>
    </xf>
    <xf numFmtId="49" fontId="7" fillId="3" borderId="0" xfId="0" applyNumberFormat="1" applyFont="1" applyFill="1" applyAlignment="1">
      <alignment horizontal="center" vertical="center" wrapText="1"/>
    </xf>
    <xf numFmtId="3" fontId="8" fillId="3" borderId="0" xfId="0" applyNumberFormat="1" applyFont="1" applyFill="1" applyAlignment="1">
      <alignment horizontal="right"/>
    </xf>
    <xf numFmtId="0" fontId="8" fillId="3" borderId="0" xfId="0" applyFont="1" applyFill="1" applyBorder="1"/>
    <xf numFmtId="0" fontId="8" fillId="0" borderId="0" xfId="0" applyFont="1" applyAlignment="1">
      <alignment horizontal="justify" vertical="justify" wrapText="1"/>
    </xf>
    <xf numFmtId="0" fontId="8" fillId="0" borderId="0" xfId="0" applyFont="1" applyAlignment="1">
      <alignment horizontal="center" vertical="center" wrapText="1"/>
    </xf>
    <xf numFmtId="0" fontId="8" fillId="0" borderId="0" xfId="0" applyFont="1" applyBorder="1"/>
    <xf numFmtId="9" fontId="8" fillId="3"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O50"/>
  <sheetViews>
    <sheetView topLeftCell="B1" zoomScale="80" zoomScaleNormal="80" workbookViewId="0">
      <pane ySplit="5" topLeftCell="A6" activePane="bottomLeft" state="frozen"/>
      <selection activeCell="B1" sqref="B1"/>
      <selection pane="bottomLeft" activeCell="C29" sqref="B29:P47"/>
    </sheetView>
  </sheetViews>
  <sheetFormatPr baseColWidth="10" defaultColWidth="9.140625" defaultRowHeight="12.75" x14ac:dyDescent="0.2"/>
  <cols>
    <col min="1" max="1" width="13.42578125" hidden="1" customWidth="1"/>
    <col min="2" max="2" width="10.28515625" style="4" customWidth="1"/>
    <col min="3" max="3" width="16.42578125" style="3" customWidth="1"/>
    <col min="4" max="4" width="7" style="4" customWidth="1"/>
    <col min="5" max="5" width="9.140625" style="4"/>
    <col min="6" max="6" width="12.85546875" style="4" customWidth="1"/>
    <col min="7" max="7" width="10" style="4" customWidth="1"/>
    <col min="8" max="8" width="63.42578125" style="2" customWidth="1"/>
    <col min="9" max="9" width="11.7109375" style="4" customWidth="1"/>
    <col min="10" max="10" width="16.28515625" style="3" customWidth="1"/>
    <col min="11" max="11" width="14.7109375" style="4" customWidth="1"/>
    <col min="12" max="12" width="11" style="4" customWidth="1"/>
    <col min="13" max="13" width="19" customWidth="1"/>
  </cols>
  <sheetData>
    <row r="2" spans="1:145" ht="24" customHeight="1" x14ac:dyDescent="0.2">
      <c r="B2" s="185" t="s">
        <v>1103</v>
      </c>
      <c r="C2" s="185"/>
      <c r="D2" s="185"/>
      <c r="E2" s="185"/>
      <c r="F2" s="185"/>
      <c r="G2" s="185"/>
      <c r="H2" s="185"/>
      <c r="I2" s="185"/>
      <c r="J2" s="185"/>
      <c r="K2" s="185"/>
      <c r="L2" s="185"/>
      <c r="M2" s="185"/>
    </row>
    <row r="4" spans="1:145" s="7" customFormat="1" ht="134.25" customHeight="1" x14ac:dyDescent="0.2">
      <c r="A4" s="7" t="s">
        <v>641</v>
      </c>
      <c r="B4" s="10" t="s">
        <v>1100</v>
      </c>
      <c r="C4" s="10" t="s">
        <v>1092</v>
      </c>
      <c r="D4" s="9" t="s">
        <v>1091</v>
      </c>
      <c r="E4" s="71" t="s">
        <v>1097</v>
      </c>
      <c r="F4" s="106" t="s">
        <v>1098</v>
      </c>
      <c r="G4" s="106" t="s">
        <v>1093</v>
      </c>
      <c r="H4" s="71" t="s">
        <v>409</v>
      </c>
      <c r="I4" s="71" t="s">
        <v>1094</v>
      </c>
      <c r="J4" s="71" t="s">
        <v>1095</v>
      </c>
      <c r="K4" s="71" t="s">
        <v>1104</v>
      </c>
      <c r="L4" s="71" t="s">
        <v>1096</v>
      </c>
      <c r="M4" s="71" t="s">
        <v>1099</v>
      </c>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row>
    <row r="5" spans="1:145" x14ac:dyDescent="0.2">
      <c r="E5" s="69"/>
      <c r="F5" s="69"/>
      <c r="G5" s="69"/>
      <c r="H5" s="36"/>
      <c r="I5" s="69"/>
      <c r="J5" s="70"/>
      <c r="K5" s="69"/>
      <c r="L5" s="69"/>
      <c r="M5" s="32"/>
    </row>
    <row r="6" spans="1:145" x14ac:dyDescent="0.2">
      <c r="A6" s="1">
        <v>0</v>
      </c>
      <c r="B6" s="52"/>
      <c r="C6" s="53"/>
      <c r="D6" s="52"/>
      <c r="E6" s="52"/>
      <c r="F6" s="52"/>
      <c r="G6" s="52"/>
      <c r="H6" s="50" t="s">
        <v>209</v>
      </c>
      <c r="I6" s="52"/>
      <c r="J6" s="53"/>
      <c r="K6" s="52"/>
      <c r="L6" s="52"/>
      <c r="M6" s="54"/>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row>
    <row r="7" spans="1:145" x14ac:dyDescent="0.2">
      <c r="A7" s="1">
        <v>1</v>
      </c>
      <c r="B7" s="52"/>
      <c r="C7" s="53"/>
      <c r="D7" s="52"/>
      <c r="E7" s="52"/>
      <c r="F7" s="52"/>
      <c r="G7" s="52"/>
      <c r="H7" s="50" t="s">
        <v>175</v>
      </c>
      <c r="I7" s="52"/>
      <c r="J7" s="53"/>
      <c r="K7" s="52"/>
      <c r="L7" s="52"/>
      <c r="M7" s="54"/>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row>
    <row r="8" spans="1:145" x14ac:dyDescent="0.2">
      <c r="A8" s="1">
        <v>2</v>
      </c>
      <c r="B8" s="52"/>
      <c r="C8" s="53"/>
      <c r="D8" s="52"/>
      <c r="E8" s="52"/>
      <c r="F8" s="52"/>
      <c r="G8" s="52"/>
      <c r="H8" s="42"/>
      <c r="I8" s="52"/>
      <c r="J8" s="53"/>
      <c r="K8" s="52"/>
      <c r="L8" s="52"/>
      <c r="M8" s="54"/>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row>
    <row r="9" spans="1:145" s="7" customFormat="1" ht="25.5" x14ac:dyDescent="0.2">
      <c r="A9" s="6">
        <v>3</v>
      </c>
      <c r="B9" s="49" t="s">
        <v>841</v>
      </c>
      <c r="C9" s="50"/>
      <c r="D9" s="49"/>
      <c r="E9" s="49"/>
      <c r="F9" s="49"/>
      <c r="G9" s="49"/>
      <c r="H9" s="48" t="s">
        <v>165</v>
      </c>
      <c r="I9" s="49"/>
      <c r="J9" s="50"/>
      <c r="K9" s="49"/>
      <c r="L9" s="49"/>
      <c r="M9" s="38">
        <f>+M10</f>
        <v>4209000000</v>
      </c>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row>
    <row r="10" spans="1:145" s="7" customFormat="1" x14ac:dyDescent="0.2">
      <c r="A10" s="6">
        <v>4</v>
      </c>
      <c r="B10" s="49" t="s">
        <v>497</v>
      </c>
      <c r="C10" s="50"/>
      <c r="D10" s="49"/>
      <c r="E10" s="49"/>
      <c r="F10" s="49"/>
      <c r="G10" s="49"/>
      <c r="H10" s="48" t="s">
        <v>355</v>
      </c>
      <c r="I10" s="49"/>
      <c r="J10" s="50"/>
      <c r="K10" s="49"/>
      <c r="L10" s="49"/>
      <c r="M10" s="38">
        <f>+M12</f>
        <v>4209000000</v>
      </c>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row>
    <row r="11" spans="1:145" ht="34.15" customHeight="1" x14ac:dyDescent="0.2">
      <c r="A11" s="1">
        <v>5</v>
      </c>
      <c r="B11" s="52"/>
      <c r="C11" s="53"/>
      <c r="D11" s="52"/>
      <c r="E11" s="55">
        <v>613</v>
      </c>
      <c r="F11" s="52" t="s">
        <v>268</v>
      </c>
      <c r="G11" s="61"/>
      <c r="H11" s="42" t="s">
        <v>613</v>
      </c>
      <c r="I11" s="55">
        <v>15</v>
      </c>
      <c r="J11" s="53" t="s">
        <v>440</v>
      </c>
      <c r="K11" s="55"/>
      <c r="L11" s="52"/>
      <c r="M11" s="54"/>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row>
    <row r="12" spans="1:145" s="7" customFormat="1" x14ac:dyDescent="0.2">
      <c r="A12" s="6">
        <v>6</v>
      </c>
      <c r="B12" s="49" t="s">
        <v>857</v>
      </c>
      <c r="C12" s="50"/>
      <c r="D12" s="49"/>
      <c r="E12" s="49"/>
      <c r="F12" s="49"/>
      <c r="G12" s="62"/>
      <c r="H12" s="56" t="s">
        <v>463</v>
      </c>
      <c r="I12" s="49"/>
      <c r="J12" s="50"/>
      <c r="K12" s="49"/>
      <c r="L12" s="49"/>
      <c r="M12" s="38">
        <f>+M18+M20+M24+M22</f>
        <v>4209000000</v>
      </c>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row>
    <row r="13" spans="1:145" s="7" customFormat="1" ht="25.5" x14ac:dyDescent="0.2">
      <c r="A13" s="6"/>
      <c r="B13" s="49"/>
      <c r="C13" s="50"/>
      <c r="D13" s="52" t="s">
        <v>597</v>
      </c>
      <c r="E13" s="55">
        <v>524</v>
      </c>
      <c r="F13" s="52" t="s">
        <v>1080</v>
      </c>
      <c r="G13" s="61"/>
      <c r="H13" s="42" t="s">
        <v>344</v>
      </c>
      <c r="I13" s="55">
        <v>1</v>
      </c>
      <c r="J13" s="53" t="s">
        <v>924</v>
      </c>
      <c r="K13" s="52">
        <v>0.12</v>
      </c>
      <c r="L13" s="52" t="s">
        <v>1203</v>
      </c>
      <c r="M13" s="38"/>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row>
    <row r="14" spans="1:145" s="7" customFormat="1" ht="25.5" x14ac:dyDescent="0.2">
      <c r="A14" s="6"/>
      <c r="B14" s="49"/>
      <c r="C14" s="50"/>
      <c r="D14" s="52" t="s">
        <v>597</v>
      </c>
      <c r="E14" s="55">
        <v>525</v>
      </c>
      <c r="F14" s="52" t="s">
        <v>1080</v>
      </c>
      <c r="G14" s="61"/>
      <c r="H14" s="42" t="s">
        <v>973</v>
      </c>
      <c r="I14" s="55">
        <v>1</v>
      </c>
      <c r="J14" s="53" t="s">
        <v>800</v>
      </c>
      <c r="K14" s="52">
        <v>0.22</v>
      </c>
      <c r="L14" s="52" t="s">
        <v>1226</v>
      </c>
      <c r="M14" s="38"/>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row>
    <row r="15" spans="1:145" ht="38.25" x14ac:dyDescent="0.2">
      <c r="A15" s="1">
        <v>7</v>
      </c>
      <c r="B15" s="52"/>
      <c r="C15" s="53"/>
      <c r="D15" s="52" t="s">
        <v>503</v>
      </c>
      <c r="E15" s="55">
        <v>526</v>
      </c>
      <c r="F15" s="52" t="s">
        <v>1080</v>
      </c>
      <c r="G15" s="61"/>
      <c r="H15" s="42" t="s">
        <v>397</v>
      </c>
      <c r="I15" s="55">
        <v>10</v>
      </c>
      <c r="J15" s="53" t="s">
        <v>846</v>
      </c>
      <c r="K15" s="55">
        <v>18</v>
      </c>
      <c r="L15" s="52" t="s">
        <v>1025</v>
      </c>
      <c r="M15" s="54"/>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row>
    <row r="16" spans="1:145" x14ac:dyDescent="0.2">
      <c r="A16" s="1">
        <v>7</v>
      </c>
      <c r="B16" s="52"/>
      <c r="C16" s="53"/>
      <c r="E16" s="69"/>
      <c r="F16" s="69"/>
      <c r="G16" s="69"/>
      <c r="H16" s="36"/>
      <c r="I16" s="69"/>
      <c r="J16" s="70"/>
      <c r="K16" s="69"/>
      <c r="L16" s="69"/>
      <c r="M16" s="54"/>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row>
    <row r="17" spans="1:145" x14ac:dyDescent="0.2">
      <c r="A17" s="1">
        <v>7</v>
      </c>
      <c r="B17" s="189"/>
      <c r="C17" s="190"/>
      <c r="D17" s="192"/>
      <c r="E17" s="192"/>
      <c r="F17" s="192"/>
      <c r="G17" s="192"/>
      <c r="H17" s="170"/>
      <c r="I17" s="192"/>
      <c r="J17" s="193"/>
      <c r="K17" s="192"/>
      <c r="L17" s="192"/>
      <c r="M17" s="194"/>
      <c r="N17" s="175"/>
      <c r="O17" s="175"/>
      <c r="P17" s="175"/>
      <c r="Q17" s="175"/>
      <c r="R17" s="175"/>
      <c r="S17" s="175"/>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row>
    <row r="18" spans="1:145" ht="25.5" x14ac:dyDescent="0.2">
      <c r="A18" s="1">
        <v>8</v>
      </c>
      <c r="B18" s="189"/>
      <c r="C18" s="190" t="s">
        <v>10</v>
      </c>
      <c r="D18" s="189"/>
      <c r="E18" s="189"/>
      <c r="F18" s="189"/>
      <c r="G18" s="195">
        <v>295948</v>
      </c>
      <c r="H18" s="80" t="s">
        <v>871</v>
      </c>
      <c r="I18" s="189"/>
      <c r="J18" s="190"/>
      <c r="K18" s="189"/>
      <c r="L18" s="189"/>
      <c r="M18" s="183">
        <f>+M19</f>
        <v>109000000</v>
      </c>
      <c r="N18" s="175"/>
      <c r="O18" s="175"/>
      <c r="P18" s="175"/>
      <c r="Q18" s="175"/>
      <c r="R18" s="175"/>
      <c r="S18" s="175"/>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row>
    <row r="19" spans="1:145" x14ac:dyDescent="0.2">
      <c r="A19" s="1">
        <v>9</v>
      </c>
      <c r="B19" s="189"/>
      <c r="C19" s="190"/>
      <c r="D19" s="189"/>
      <c r="E19" s="189"/>
      <c r="F19" s="189"/>
      <c r="G19" s="195"/>
      <c r="H19" s="80" t="s">
        <v>835</v>
      </c>
      <c r="I19" s="189"/>
      <c r="J19" s="190"/>
      <c r="K19" s="189"/>
      <c r="L19" s="189"/>
      <c r="M19" s="183">
        <v>109000000</v>
      </c>
      <c r="N19" s="175"/>
      <c r="O19" s="175"/>
      <c r="P19" s="175"/>
      <c r="Q19" s="175"/>
      <c r="R19" s="175"/>
      <c r="S19" s="175"/>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row>
    <row r="20" spans="1:145" ht="51" x14ac:dyDescent="0.2">
      <c r="A20" s="1">
        <v>8</v>
      </c>
      <c r="B20" s="189"/>
      <c r="C20" s="190" t="s">
        <v>10</v>
      </c>
      <c r="D20" s="189"/>
      <c r="E20" s="189"/>
      <c r="F20" s="189"/>
      <c r="G20" s="195">
        <v>295949</v>
      </c>
      <c r="H20" s="80" t="s">
        <v>490</v>
      </c>
      <c r="I20" s="189"/>
      <c r="J20" s="190"/>
      <c r="K20" s="189"/>
      <c r="L20" s="189"/>
      <c r="M20" s="183">
        <f>+M21</f>
        <v>3600000000</v>
      </c>
      <c r="N20" s="175"/>
      <c r="O20" s="175"/>
      <c r="P20" s="175"/>
      <c r="Q20" s="175"/>
      <c r="R20" s="175"/>
      <c r="S20" s="175"/>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row>
    <row r="21" spans="1:145" x14ac:dyDescent="0.2">
      <c r="A21" s="1">
        <v>9</v>
      </c>
      <c r="B21" s="189"/>
      <c r="C21" s="190"/>
      <c r="D21" s="189"/>
      <c r="E21" s="189"/>
      <c r="F21" s="189"/>
      <c r="G21" s="195"/>
      <c r="H21" s="80" t="s">
        <v>835</v>
      </c>
      <c r="I21" s="189"/>
      <c r="J21" s="190"/>
      <c r="K21" s="189"/>
      <c r="L21" s="189"/>
      <c r="M21" s="183">
        <f>5500000000-1500000000-400000000</f>
        <v>3600000000</v>
      </c>
      <c r="N21" s="175"/>
      <c r="O21" s="175"/>
      <c r="P21" s="175"/>
      <c r="Q21" s="175"/>
      <c r="R21" s="175"/>
      <c r="S21" s="175"/>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row>
    <row r="22" spans="1:145" ht="63.75" x14ac:dyDescent="0.2">
      <c r="A22" s="1"/>
      <c r="B22" s="189"/>
      <c r="C22" s="190" t="s">
        <v>1528</v>
      </c>
      <c r="D22" s="189"/>
      <c r="E22" s="189"/>
      <c r="F22" s="189"/>
      <c r="G22" s="195">
        <v>295949</v>
      </c>
      <c r="H22" s="80" t="s">
        <v>1527</v>
      </c>
      <c r="I22" s="189"/>
      <c r="J22" s="190"/>
      <c r="K22" s="189"/>
      <c r="L22" s="189"/>
      <c r="M22" s="183">
        <f>+M23</f>
        <v>400000000</v>
      </c>
      <c r="N22" s="175"/>
      <c r="O22" s="175"/>
      <c r="P22" s="175"/>
      <c r="Q22" s="175"/>
      <c r="R22" s="175"/>
      <c r="S22" s="175"/>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row>
    <row r="23" spans="1:145" x14ac:dyDescent="0.2">
      <c r="A23" s="1"/>
      <c r="B23" s="189"/>
      <c r="C23" s="190"/>
      <c r="D23" s="189"/>
      <c r="E23" s="189"/>
      <c r="F23" s="189"/>
      <c r="G23" s="195"/>
      <c r="H23" s="80" t="s">
        <v>835</v>
      </c>
      <c r="I23" s="189"/>
      <c r="J23" s="190"/>
      <c r="K23" s="189"/>
      <c r="L23" s="189"/>
      <c r="M23" s="183">
        <v>400000000</v>
      </c>
      <c r="N23" s="175"/>
      <c r="O23" s="175"/>
      <c r="P23" s="175"/>
      <c r="Q23" s="175"/>
      <c r="R23" s="175"/>
      <c r="S23" s="175"/>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row>
    <row r="24" spans="1:145" ht="41.25" customHeight="1" x14ac:dyDescent="0.2">
      <c r="A24" s="1">
        <v>8</v>
      </c>
      <c r="B24" s="189"/>
      <c r="C24" s="190" t="s">
        <v>10</v>
      </c>
      <c r="D24" s="189"/>
      <c r="E24" s="189"/>
      <c r="F24" s="189"/>
      <c r="G24" s="195">
        <v>295952</v>
      </c>
      <c r="H24" s="80" t="s">
        <v>584</v>
      </c>
      <c r="I24" s="189"/>
      <c r="J24" s="190"/>
      <c r="K24" s="189"/>
      <c r="L24" s="189"/>
      <c r="M24" s="183">
        <f>+M25</f>
        <v>100000000</v>
      </c>
      <c r="N24" s="175"/>
      <c r="O24" s="175"/>
      <c r="P24" s="175"/>
      <c r="Q24" s="175"/>
      <c r="R24" s="175"/>
      <c r="S24" s="175"/>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row>
    <row r="25" spans="1:145" x14ac:dyDescent="0.2">
      <c r="A25" s="1">
        <v>9</v>
      </c>
      <c r="B25" s="52"/>
      <c r="C25" s="53"/>
      <c r="D25" s="52"/>
      <c r="E25" s="52"/>
      <c r="F25" s="52"/>
      <c r="G25" s="61"/>
      <c r="H25" s="80" t="s">
        <v>835</v>
      </c>
      <c r="I25" s="52"/>
      <c r="J25" s="53"/>
      <c r="K25" s="52"/>
      <c r="L25" s="52"/>
      <c r="M25" s="37">
        <v>100000000</v>
      </c>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row>
    <row r="26" spans="1:145" x14ac:dyDescent="0.2">
      <c r="A26" s="1"/>
      <c r="B26" s="52"/>
      <c r="C26" s="53"/>
      <c r="D26" s="52"/>
      <c r="E26" s="52"/>
      <c r="F26" s="52"/>
      <c r="G26" s="61"/>
      <c r="H26" s="42"/>
      <c r="I26" s="52"/>
      <c r="J26" s="53"/>
      <c r="K26" s="52"/>
      <c r="L26" s="52"/>
      <c r="M26" s="37"/>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row>
    <row r="27" spans="1:145" ht="15" x14ac:dyDescent="0.25">
      <c r="A27" s="1">
        <v>10</v>
      </c>
      <c r="B27" s="52"/>
      <c r="C27" s="53"/>
      <c r="D27" s="52"/>
      <c r="E27" s="52"/>
      <c r="F27" s="52"/>
      <c r="G27" s="61"/>
      <c r="H27" s="63" t="s">
        <v>184</v>
      </c>
      <c r="I27" s="59"/>
      <c r="J27" s="58"/>
      <c r="K27" s="59"/>
      <c r="L27" s="59"/>
      <c r="M27" s="64">
        <f>+M9</f>
        <v>4209000000</v>
      </c>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row>
    <row r="28" spans="1:145" x14ac:dyDescent="0.2">
      <c r="A28" s="1"/>
      <c r="B28" s="52"/>
      <c r="C28" s="53"/>
      <c r="D28" s="52"/>
      <c r="E28" s="52"/>
      <c r="F28" s="52"/>
      <c r="G28" s="61"/>
      <c r="H28" s="48"/>
      <c r="I28" s="49"/>
      <c r="J28" s="50"/>
      <c r="K28" s="49"/>
      <c r="L28" s="49"/>
      <c r="M28" s="38"/>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row>
    <row r="29" spans="1:145" x14ac:dyDescent="0.2">
      <c r="A29" s="1"/>
      <c r="B29" s="73"/>
      <c r="D29" s="73"/>
      <c r="E29" s="73"/>
      <c r="F29" s="73"/>
      <c r="G29" s="73"/>
      <c r="H29" s="73"/>
      <c r="I29" s="73"/>
      <c r="J29" s="50"/>
      <c r="K29" s="49"/>
      <c r="L29" s="49"/>
      <c r="M29" s="38"/>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row>
    <row r="30" spans="1:145" x14ac:dyDescent="0.2">
      <c r="A30" s="1"/>
      <c r="B30" s="52"/>
      <c r="C30" s="53"/>
      <c r="D30" s="52"/>
      <c r="E30" s="52"/>
      <c r="F30" s="52"/>
      <c r="G30" s="61"/>
      <c r="H30" s="48"/>
      <c r="I30" s="49"/>
      <c r="J30" s="50"/>
      <c r="K30" s="49"/>
      <c r="L30" s="49"/>
      <c r="M30" s="38"/>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row>
    <row r="31" spans="1:145" x14ac:dyDescent="0.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row>
    <row r="32" spans="1:145" x14ac:dyDescent="0.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row>
    <row r="33" spans="2:145" x14ac:dyDescent="0.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row>
    <row r="34" spans="2:145" x14ac:dyDescent="0.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row>
    <row r="35" spans="2:145" x14ac:dyDescent="0.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row>
    <row r="36" spans="2:145" x14ac:dyDescent="0.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7" spans="2:145" x14ac:dyDescent="0.2">
      <c r="B37" s="9"/>
      <c r="C37" s="10"/>
      <c r="D37" s="9"/>
      <c r="E37" s="9"/>
      <c r="F37" s="9"/>
      <c r="G37" s="9"/>
      <c r="H37" s="72"/>
      <c r="I37" s="9"/>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row>
    <row r="38" spans="2:145" x14ac:dyDescent="0.2">
      <c r="B38" s="186"/>
      <c r="C38" s="186"/>
      <c r="D38" s="186"/>
      <c r="E38" s="186"/>
      <c r="F38" s="186"/>
      <c r="G38" s="186"/>
      <c r="H38" s="186"/>
      <c r="I38" s="186"/>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row>
    <row r="39" spans="2:145" x14ac:dyDescent="0.2">
      <c r="B39" s="186"/>
      <c r="C39" s="186"/>
      <c r="D39" s="186"/>
      <c r="E39" s="186"/>
      <c r="F39" s="186"/>
      <c r="G39" s="186"/>
      <c r="H39" s="186"/>
      <c r="I39" s="186"/>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row>
    <row r="40" spans="2:145" x14ac:dyDescent="0.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row>
    <row r="41" spans="2:145" x14ac:dyDescent="0.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row>
    <row r="42" spans="2:145" x14ac:dyDescent="0.2">
      <c r="H42" s="72"/>
      <c r="M42" s="6"/>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row>
    <row r="43" spans="2:145" x14ac:dyDescent="0.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row>
    <row r="44" spans="2:145" x14ac:dyDescent="0.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row>
    <row r="45" spans="2:145" x14ac:dyDescent="0.2">
      <c r="H45" s="72"/>
      <c r="I45" s="96"/>
      <c r="J45" s="10"/>
      <c r="K45" s="96"/>
      <c r="L45" s="96"/>
      <c r="M45" s="7"/>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row>
    <row r="46" spans="2:145" x14ac:dyDescent="0.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row>
    <row r="47" spans="2:145" x14ac:dyDescent="0.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row>
    <row r="48" spans="2:145" x14ac:dyDescent="0.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row>
    <row r="49" spans="14:145" x14ac:dyDescent="0.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row>
    <row r="50" spans="14:145" x14ac:dyDescent="0.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row>
  </sheetData>
  <mergeCells count="3">
    <mergeCell ref="B2:M2"/>
    <mergeCell ref="B38:I38"/>
    <mergeCell ref="B39:I39"/>
  </mergeCells>
  <pageMargins left="0.35433070866141736" right="0.11811023622047245" top="0.38" bottom="0.38" header="0.15" footer="0.28000000000000003"/>
  <pageSetup paperSize="14"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64"/>
  <sheetViews>
    <sheetView topLeftCell="B46" zoomScale="80" zoomScaleNormal="80" workbookViewId="0">
      <selection activeCell="B65" sqref="B65:K81"/>
    </sheetView>
  </sheetViews>
  <sheetFormatPr baseColWidth="10" defaultColWidth="9.140625" defaultRowHeight="12.75" x14ac:dyDescent="0.2"/>
  <cols>
    <col min="1" max="1" width="13.42578125" style="32" hidden="1" customWidth="1"/>
    <col min="2" max="2" width="9.42578125" style="69" customWidth="1"/>
    <col min="3" max="3" width="18" style="70" customWidth="1"/>
    <col min="4" max="4" width="8.28515625" style="69" customWidth="1"/>
    <col min="5" max="5" width="9.140625" style="69"/>
    <col min="6" max="6" width="12.85546875" style="69" customWidth="1"/>
    <col min="7" max="7" width="10" style="69" customWidth="1"/>
    <col min="8" max="8" width="66.5703125"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2" spans="1:107" ht="24" customHeight="1" x14ac:dyDescent="0.2">
      <c r="B2" s="187" t="s">
        <v>1103</v>
      </c>
      <c r="C2" s="187"/>
      <c r="D2" s="187"/>
      <c r="E2" s="187"/>
      <c r="F2" s="187"/>
      <c r="G2" s="187"/>
      <c r="H2" s="187"/>
      <c r="I2" s="187"/>
      <c r="J2" s="187"/>
      <c r="K2" s="187"/>
      <c r="L2" s="187"/>
      <c r="M2" s="187"/>
    </row>
    <row r="4" spans="1:107" s="33" customFormat="1" ht="42.75" customHeight="1" x14ac:dyDescent="0.2">
      <c r="A4" s="33" t="s">
        <v>641</v>
      </c>
      <c r="B4" s="71" t="s">
        <v>1100</v>
      </c>
      <c r="C4" s="71" t="s">
        <v>1092</v>
      </c>
      <c r="D4" s="35" t="s">
        <v>1091</v>
      </c>
      <c r="E4" s="126" t="s">
        <v>1097</v>
      </c>
      <c r="F4" s="127" t="s">
        <v>1098</v>
      </c>
      <c r="G4" s="127" t="s">
        <v>1093</v>
      </c>
      <c r="H4" s="126" t="s">
        <v>409</v>
      </c>
      <c r="I4" s="126" t="s">
        <v>1094</v>
      </c>
      <c r="J4" s="126" t="s">
        <v>1095</v>
      </c>
      <c r="K4" s="126" t="s">
        <v>1104</v>
      </c>
      <c r="L4" s="126" t="s">
        <v>1096</v>
      </c>
      <c r="M4" s="126"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row>
    <row r="5" spans="1:107" x14ac:dyDescent="0.2">
      <c r="A5" s="37"/>
      <c r="B5" s="52"/>
      <c r="C5" s="53"/>
      <c r="D5" s="52"/>
      <c r="E5" s="132"/>
      <c r="F5" s="132"/>
      <c r="G5" s="133"/>
      <c r="H5" s="140"/>
      <c r="I5" s="132"/>
      <c r="J5" s="138"/>
      <c r="K5" s="132"/>
      <c r="L5" s="132"/>
      <c r="M5" s="144"/>
    </row>
    <row r="6" spans="1:107" ht="15.75" x14ac:dyDescent="0.2">
      <c r="A6" s="37">
        <v>0</v>
      </c>
      <c r="B6" s="52"/>
      <c r="C6" s="53"/>
      <c r="D6" s="52"/>
      <c r="E6" s="132"/>
      <c r="F6" s="132"/>
      <c r="G6" s="133"/>
      <c r="H6" s="137" t="s">
        <v>39</v>
      </c>
      <c r="I6" s="132"/>
      <c r="J6" s="138"/>
      <c r="K6" s="132"/>
      <c r="L6" s="132"/>
      <c r="M6" s="139"/>
    </row>
    <row r="7" spans="1:107" ht="31.5" x14ac:dyDescent="0.2">
      <c r="A7" s="37">
        <v>1</v>
      </c>
      <c r="B7" s="52"/>
      <c r="C7" s="53"/>
      <c r="D7" s="52"/>
      <c r="E7" s="132"/>
      <c r="F7" s="132"/>
      <c r="G7" s="133"/>
      <c r="H7" s="137" t="s">
        <v>1011</v>
      </c>
      <c r="I7" s="132"/>
      <c r="J7" s="138"/>
      <c r="K7" s="132"/>
      <c r="L7" s="132"/>
      <c r="M7" s="139"/>
    </row>
    <row r="8" spans="1:107" x14ac:dyDescent="0.2">
      <c r="A8" s="37">
        <v>2</v>
      </c>
      <c r="B8" s="52"/>
      <c r="C8" s="53"/>
      <c r="D8" s="52"/>
      <c r="E8" s="132"/>
      <c r="F8" s="132"/>
      <c r="G8" s="133"/>
      <c r="H8" s="140"/>
      <c r="I8" s="132"/>
      <c r="J8" s="138"/>
      <c r="K8" s="132"/>
      <c r="L8" s="132"/>
      <c r="M8" s="139"/>
    </row>
    <row r="9" spans="1:107" x14ac:dyDescent="0.2">
      <c r="A9" s="37">
        <v>3</v>
      </c>
      <c r="B9" s="52" t="s">
        <v>301</v>
      </c>
      <c r="C9" s="53"/>
      <c r="D9" s="52"/>
      <c r="E9" s="132"/>
      <c r="F9" s="132"/>
      <c r="G9" s="133"/>
      <c r="H9" s="141" t="s">
        <v>981</v>
      </c>
      <c r="I9" s="132"/>
      <c r="J9" s="138"/>
      <c r="K9" s="132"/>
      <c r="L9" s="132"/>
      <c r="M9" s="142">
        <f>+M10</f>
        <v>800000000</v>
      </c>
    </row>
    <row r="10" spans="1:107" ht="25.5" x14ac:dyDescent="0.2">
      <c r="A10" s="37">
        <v>4</v>
      </c>
      <c r="B10" s="52" t="s">
        <v>1069</v>
      </c>
      <c r="C10" s="53"/>
      <c r="D10" s="52"/>
      <c r="E10" s="132"/>
      <c r="F10" s="132"/>
      <c r="G10" s="133"/>
      <c r="H10" s="141" t="s">
        <v>101</v>
      </c>
      <c r="I10" s="132"/>
      <c r="J10" s="138"/>
      <c r="K10" s="132"/>
      <c r="L10" s="132"/>
      <c r="M10" s="142">
        <f>+M12</f>
        <v>800000000</v>
      </c>
    </row>
    <row r="11" spans="1:107" ht="25.5" x14ac:dyDescent="0.2">
      <c r="A11" s="37">
        <v>5</v>
      </c>
      <c r="B11" s="52"/>
      <c r="C11" s="53"/>
      <c r="D11" s="52"/>
      <c r="E11" s="143">
        <v>269</v>
      </c>
      <c r="F11" s="132" t="s">
        <v>268</v>
      </c>
      <c r="G11" s="133"/>
      <c r="H11" s="140" t="s">
        <v>360</v>
      </c>
      <c r="I11" s="143">
        <v>116</v>
      </c>
      <c r="J11" s="138" t="s">
        <v>286</v>
      </c>
      <c r="K11" s="143"/>
      <c r="L11" s="132"/>
      <c r="M11" s="139"/>
    </row>
    <row r="12" spans="1:107" x14ac:dyDescent="0.2">
      <c r="A12" s="37">
        <v>6</v>
      </c>
      <c r="B12" s="52" t="s">
        <v>955</v>
      </c>
      <c r="C12" s="53"/>
      <c r="D12" s="52"/>
      <c r="E12" s="132"/>
      <c r="F12" s="132"/>
      <c r="G12" s="133"/>
      <c r="H12" s="141" t="s">
        <v>667</v>
      </c>
      <c r="I12" s="132"/>
      <c r="J12" s="138"/>
      <c r="K12" s="132"/>
      <c r="L12" s="132"/>
      <c r="M12" s="142">
        <f>+M15</f>
        <v>800000000</v>
      </c>
    </row>
    <row r="13" spans="1:107" ht="38.25" x14ac:dyDescent="0.2">
      <c r="A13" s="37"/>
      <c r="B13" s="52"/>
      <c r="C13" s="53"/>
      <c r="D13" s="52" t="s">
        <v>972</v>
      </c>
      <c r="E13" s="143">
        <v>309</v>
      </c>
      <c r="F13" s="132" t="s">
        <v>1080</v>
      </c>
      <c r="G13" s="133"/>
      <c r="H13" s="140" t="s">
        <v>384</v>
      </c>
      <c r="I13" s="143">
        <v>100</v>
      </c>
      <c r="J13" s="138" t="s">
        <v>804</v>
      </c>
      <c r="K13" s="143">
        <v>10</v>
      </c>
      <c r="L13" s="132" t="s">
        <v>1209</v>
      </c>
      <c r="M13" s="142"/>
    </row>
    <row r="14" spans="1:107" ht="69" customHeight="1" x14ac:dyDescent="0.2">
      <c r="A14" s="37">
        <v>7</v>
      </c>
      <c r="B14" s="52"/>
      <c r="C14" s="53"/>
      <c r="D14" s="52" t="s">
        <v>972</v>
      </c>
      <c r="E14" s="143">
        <v>310</v>
      </c>
      <c r="F14" s="132" t="s">
        <v>1080</v>
      </c>
      <c r="G14" s="133"/>
      <c r="H14" s="146" t="s">
        <v>564</v>
      </c>
      <c r="I14" s="143">
        <v>100</v>
      </c>
      <c r="J14" s="138" t="s">
        <v>804</v>
      </c>
      <c r="K14" s="143">
        <v>60</v>
      </c>
      <c r="L14" s="132" t="s">
        <v>1209</v>
      </c>
      <c r="M14" s="139"/>
    </row>
    <row r="15" spans="1:107" ht="25.5" x14ac:dyDescent="0.2">
      <c r="A15" s="37">
        <v>8</v>
      </c>
      <c r="B15" s="52"/>
      <c r="C15" s="53" t="s">
        <v>10</v>
      </c>
      <c r="D15" s="52"/>
      <c r="E15" s="132"/>
      <c r="F15" s="132"/>
      <c r="G15" s="133">
        <v>296077</v>
      </c>
      <c r="H15" s="140" t="s">
        <v>623</v>
      </c>
      <c r="I15" s="132"/>
      <c r="J15" s="138"/>
      <c r="K15" s="132"/>
      <c r="L15" s="132"/>
      <c r="M15" s="144">
        <f>+M16</f>
        <v>800000000</v>
      </c>
    </row>
    <row r="16" spans="1:107" x14ac:dyDescent="0.2">
      <c r="A16" s="37">
        <v>9</v>
      </c>
      <c r="B16" s="52"/>
      <c r="C16" s="53"/>
      <c r="D16" s="52"/>
      <c r="E16" s="132"/>
      <c r="F16" s="132"/>
      <c r="G16" s="133"/>
      <c r="H16" s="140" t="s">
        <v>835</v>
      </c>
      <c r="I16" s="132"/>
      <c r="J16" s="138"/>
      <c r="K16" s="132"/>
      <c r="L16" s="132"/>
      <c r="M16" s="144">
        <f>600000000+200000000</f>
        <v>800000000</v>
      </c>
    </row>
    <row r="17" spans="1:13" x14ac:dyDescent="0.2">
      <c r="A17" s="37"/>
      <c r="B17" s="52"/>
      <c r="C17" s="53"/>
      <c r="D17" s="52"/>
      <c r="E17" s="132"/>
      <c r="F17" s="132"/>
      <c r="G17" s="133"/>
      <c r="H17" s="140"/>
      <c r="I17" s="132"/>
      <c r="J17" s="138"/>
      <c r="K17" s="132"/>
      <c r="L17" s="132"/>
      <c r="M17" s="144"/>
    </row>
    <row r="18" spans="1:13" x14ac:dyDescent="0.2">
      <c r="A18" s="37">
        <v>3</v>
      </c>
      <c r="B18" s="52" t="s">
        <v>422</v>
      </c>
      <c r="C18" s="53"/>
      <c r="D18" s="52"/>
      <c r="E18" s="132"/>
      <c r="F18" s="132"/>
      <c r="G18" s="133"/>
      <c r="H18" s="141" t="s">
        <v>381</v>
      </c>
      <c r="I18" s="132"/>
      <c r="J18" s="138"/>
      <c r="K18" s="132"/>
      <c r="L18" s="132"/>
      <c r="M18" s="142">
        <f>+M19+M44</f>
        <v>3450000000</v>
      </c>
    </row>
    <row r="19" spans="1:13" ht="25.5" x14ac:dyDescent="0.2">
      <c r="A19" s="37">
        <v>4</v>
      </c>
      <c r="B19" s="52" t="s">
        <v>857</v>
      </c>
      <c r="C19" s="53"/>
      <c r="D19" s="52"/>
      <c r="E19" s="132"/>
      <c r="F19" s="132"/>
      <c r="G19" s="133"/>
      <c r="H19" s="141" t="s">
        <v>200</v>
      </c>
      <c r="I19" s="132"/>
      <c r="J19" s="138"/>
      <c r="K19" s="132"/>
      <c r="L19" s="132"/>
      <c r="M19" s="142">
        <f>+M22+M27+M38</f>
        <v>2650000000</v>
      </c>
    </row>
    <row r="20" spans="1:13" ht="25.5" x14ac:dyDescent="0.2">
      <c r="A20" s="37">
        <v>5</v>
      </c>
      <c r="B20" s="52"/>
      <c r="C20" s="53"/>
      <c r="D20" s="52"/>
      <c r="E20" s="143">
        <v>269</v>
      </c>
      <c r="F20" s="132" t="s">
        <v>268</v>
      </c>
      <c r="G20" s="133"/>
      <c r="H20" s="140" t="s">
        <v>360</v>
      </c>
      <c r="I20" s="143">
        <v>116</v>
      </c>
      <c r="J20" s="138" t="s">
        <v>286</v>
      </c>
      <c r="K20" s="143"/>
      <c r="L20" s="132"/>
      <c r="M20" s="139"/>
    </row>
    <row r="21" spans="1:13" ht="38.25" x14ac:dyDescent="0.2">
      <c r="A21" s="37">
        <v>5</v>
      </c>
      <c r="B21" s="52"/>
      <c r="C21" s="53"/>
      <c r="D21" s="52"/>
      <c r="E21" s="143">
        <v>422</v>
      </c>
      <c r="F21" s="132" t="s">
        <v>268</v>
      </c>
      <c r="G21" s="133"/>
      <c r="H21" s="140" t="s">
        <v>907</v>
      </c>
      <c r="I21" s="143">
        <v>1</v>
      </c>
      <c r="J21" s="138" t="s">
        <v>696</v>
      </c>
      <c r="K21" s="143"/>
      <c r="L21" s="132"/>
      <c r="M21" s="139"/>
    </row>
    <row r="22" spans="1:13" x14ac:dyDescent="0.2">
      <c r="A22" s="37">
        <v>6</v>
      </c>
      <c r="B22" s="52" t="s">
        <v>857</v>
      </c>
      <c r="C22" s="53"/>
      <c r="D22" s="52"/>
      <c r="E22" s="132"/>
      <c r="F22" s="132"/>
      <c r="G22" s="133"/>
      <c r="H22" s="141" t="s">
        <v>72</v>
      </c>
      <c r="I22" s="132"/>
      <c r="J22" s="138"/>
      <c r="K22" s="132"/>
      <c r="L22" s="132"/>
      <c r="M22" s="142">
        <f>+M25</f>
        <v>1100000000</v>
      </c>
    </row>
    <row r="23" spans="1:13" ht="25.5" x14ac:dyDescent="0.2">
      <c r="A23" s="37">
        <v>7</v>
      </c>
      <c r="B23" s="52"/>
      <c r="C23" s="53"/>
      <c r="D23" s="52" t="s">
        <v>984</v>
      </c>
      <c r="E23" s="143">
        <v>423</v>
      </c>
      <c r="F23" s="132" t="s">
        <v>1080</v>
      </c>
      <c r="G23" s="133"/>
      <c r="H23" s="140" t="s">
        <v>1040</v>
      </c>
      <c r="I23" s="143">
        <v>8</v>
      </c>
      <c r="J23" s="138" t="s">
        <v>257</v>
      </c>
      <c r="K23" s="143">
        <v>1</v>
      </c>
      <c r="L23" s="132" t="s">
        <v>1163</v>
      </c>
      <c r="M23" s="139"/>
    </row>
    <row r="24" spans="1:13" ht="25.5" x14ac:dyDescent="0.2">
      <c r="A24" s="37">
        <v>7</v>
      </c>
      <c r="B24" s="52"/>
      <c r="C24" s="53"/>
      <c r="D24" s="52" t="s">
        <v>419</v>
      </c>
      <c r="E24" s="143">
        <v>424</v>
      </c>
      <c r="F24" s="132" t="s">
        <v>1080</v>
      </c>
      <c r="G24" s="133"/>
      <c r="H24" s="140" t="s">
        <v>275</v>
      </c>
      <c r="I24" s="143">
        <v>1</v>
      </c>
      <c r="J24" s="138" t="s">
        <v>132</v>
      </c>
      <c r="K24" s="143" t="s">
        <v>1396</v>
      </c>
      <c r="L24" s="132" t="s">
        <v>301</v>
      </c>
      <c r="M24" s="139"/>
    </row>
    <row r="25" spans="1:13" ht="25.5" x14ac:dyDescent="0.2">
      <c r="A25" s="37">
        <v>8</v>
      </c>
      <c r="B25" s="52"/>
      <c r="C25" s="53" t="s">
        <v>10</v>
      </c>
      <c r="D25" s="52"/>
      <c r="E25" s="132"/>
      <c r="F25" s="132"/>
      <c r="G25" s="133">
        <v>296075</v>
      </c>
      <c r="H25" s="140" t="s">
        <v>252</v>
      </c>
      <c r="I25" s="132"/>
      <c r="J25" s="138"/>
      <c r="K25" s="132"/>
      <c r="L25" s="132"/>
      <c r="M25" s="144">
        <f>+M26</f>
        <v>1100000000</v>
      </c>
    </row>
    <row r="26" spans="1:13" x14ac:dyDescent="0.2">
      <c r="A26" s="37">
        <v>9</v>
      </c>
      <c r="B26" s="52"/>
      <c r="C26" s="53"/>
      <c r="D26" s="52"/>
      <c r="E26" s="132"/>
      <c r="F26" s="132"/>
      <c r="G26" s="133"/>
      <c r="H26" s="140" t="s">
        <v>835</v>
      </c>
      <c r="I26" s="132"/>
      <c r="J26" s="138"/>
      <c r="K26" s="132"/>
      <c r="L26" s="132"/>
      <c r="M26" s="144">
        <f>800000000+400000000-100000000</f>
        <v>1100000000</v>
      </c>
    </row>
    <row r="27" spans="1:13" x14ac:dyDescent="0.2">
      <c r="A27" s="37">
        <v>6</v>
      </c>
      <c r="B27" s="52" t="s">
        <v>497</v>
      </c>
      <c r="C27" s="53"/>
      <c r="D27" s="52"/>
      <c r="E27" s="132"/>
      <c r="F27" s="132"/>
      <c r="G27" s="133"/>
      <c r="H27" s="141" t="s">
        <v>192</v>
      </c>
      <c r="I27" s="132"/>
      <c r="J27" s="138"/>
      <c r="K27" s="132"/>
      <c r="L27" s="132"/>
      <c r="M27" s="142">
        <f>+M36</f>
        <v>1450000000</v>
      </c>
    </row>
    <row r="28" spans="1:13" ht="25.5" x14ac:dyDescent="0.2">
      <c r="A28" s="37">
        <v>7</v>
      </c>
      <c r="B28" s="52"/>
      <c r="C28" s="53"/>
      <c r="D28" s="52" t="s">
        <v>984</v>
      </c>
      <c r="E28" s="143">
        <v>425</v>
      </c>
      <c r="F28" s="132" t="s">
        <v>1080</v>
      </c>
      <c r="G28" s="133"/>
      <c r="H28" s="140" t="s">
        <v>707</v>
      </c>
      <c r="I28" s="143">
        <v>1000</v>
      </c>
      <c r="J28" s="138" t="s">
        <v>944</v>
      </c>
      <c r="K28" s="143">
        <v>254</v>
      </c>
      <c r="L28" s="132" t="s">
        <v>1414</v>
      </c>
      <c r="M28" s="139"/>
    </row>
    <row r="29" spans="1:13" ht="25.5" x14ac:dyDescent="0.2">
      <c r="A29" s="37"/>
      <c r="B29" s="52"/>
      <c r="C29" s="53"/>
      <c r="D29" s="52" t="s">
        <v>419</v>
      </c>
      <c r="E29" s="143">
        <v>426</v>
      </c>
      <c r="F29" s="132" t="s">
        <v>1080</v>
      </c>
      <c r="G29" s="133"/>
      <c r="H29" s="140" t="s">
        <v>681</v>
      </c>
      <c r="I29" s="143">
        <v>250</v>
      </c>
      <c r="J29" s="138" t="s">
        <v>84</v>
      </c>
      <c r="K29" s="132" t="s">
        <v>1415</v>
      </c>
      <c r="L29" s="132" t="s">
        <v>1249</v>
      </c>
      <c r="M29" s="139"/>
    </row>
    <row r="30" spans="1:13" ht="38.25" x14ac:dyDescent="0.2">
      <c r="A30" s="37">
        <v>7</v>
      </c>
      <c r="B30" s="52"/>
      <c r="C30" s="53"/>
      <c r="D30" s="52" t="s">
        <v>984</v>
      </c>
      <c r="E30" s="143">
        <v>427</v>
      </c>
      <c r="F30" s="132" t="s">
        <v>1080</v>
      </c>
      <c r="G30" s="133"/>
      <c r="H30" s="140" t="s">
        <v>462</v>
      </c>
      <c r="I30" s="143">
        <v>3</v>
      </c>
      <c r="J30" s="138" t="s">
        <v>348</v>
      </c>
      <c r="K30" s="132" t="s">
        <v>422</v>
      </c>
      <c r="L30" s="132" t="s">
        <v>301</v>
      </c>
      <c r="M30" s="139"/>
    </row>
    <row r="31" spans="1:13" ht="25.5" x14ac:dyDescent="0.2">
      <c r="A31" s="37"/>
      <c r="B31" s="52"/>
      <c r="C31" s="53"/>
      <c r="D31" s="52" t="s">
        <v>419</v>
      </c>
      <c r="E31" s="143">
        <v>428</v>
      </c>
      <c r="F31" s="132" t="s">
        <v>1080</v>
      </c>
      <c r="G31" s="133"/>
      <c r="H31" s="140" t="s">
        <v>531</v>
      </c>
      <c r="I31" s="143">
        <v>35</v>
      </c>
      <c r="J31" s="138" t="s">
        <v>286</v>
      </c>
      <c r="K31" s="132" t="s">
        <v>301</v>
      </c>
      <c r="L31" s="132" t="s">
        <v>1416</v>
      </c>
      <c r="M31" s="139"/>
    </row>
    <row r="32" spans="1:13" ht="38.25" x14ac:dyDescent="0.2">
      <c r="A32" s="37"/>
      <c r="B32" s="52"/>
      <c r="C32" s="53"/>
      <c r="D32" s="52" t="s">
        <v>419</v>
      </c>
      <c r="E32" s="143">
        <v>429</v>
      </c>
      <c r="F32" s="132" t="s">
        <v>1080</v>
      </c>
      <c r="G32" s="133"/>
      <c r="H32" s="140" t="s">
        <v>461</v>
      </c>
      <c r="I32" s="143">
        <v>2000</v>
      </c>
      <c r="J32" s="138" t="s">
        <v>52</v>
      </c>
      <c r="K32" s="132" t="s">
        <v>1417</v>
      </c>
      <c r="L32" s="132" t="s">
        <v>1233</v>
      </c>
      <c r="M32" s="139"/>
    </row>
    <row r="33" spans="1:13" ht="38.25" x14ac:dyDescent="0.2">
      <c r="A33" s="37"/>
      <c r="B33" s="52"/>
      <c r="C33" s="53"/>
      <c r="D33" s="52" t="s">
        <v>419</v>
      </c>
      <c r="E33" s="143">
        <v>430</v>
      </c>
      <c r="F33" s="132" t="s">
        <v>1080</v>
      </c>
      <c r="G33" s="133"/>
      <c r="H33" s="140" t="s">
        <v>1131</v>
      </c>
      <c r="I33" s="143">
        <v>1</v>
      </c>
      <c r="J33" s="138" t="s">
        <v>800</v>
      </c>
      <c r="K33" s="132" t="s">
        <v>1255</v>
      </c>
      <c r="L33" s="132" t="s">
        <v>1186</v>
      </c>
      <c r="M33" s="139"/>
    </row>
    <row r="34" spans="1:13" ht="25.5" x14ac:dyDescent="0.2">
      <c r="A34" s="37">
        <v>7</v>
      </c>
      <c r="B34" s="52"/>
      <c r="C34" s="53"/>
      <c r="D34" s="52" t="s">
        <v>836</v>
      </c>
      <c r="E34" s="143">
        <v>431</v>
      </c>
      <c r="F34" s="132" t="s">
        <v>1080</v>
      </c>
      <c r="G34" s="133"/>
      <c r="H34" s="140" t="s">
        <v>199</v>
      </c>
      <c r="I34" s="143">
        <v>30</v>
      </c>
      <c r="J34" s="138" t="s">
        <v>874</v>
      </c>
      <c r="K34" s="132" t="s">
        <v>1418</v>
      </c>
      <c r="L34" s="132" t="s">
        <v>1173</v>
      </c>
      <c r="M34" s="139"/>
    </row>
    <row r="35" spans="1:13" x14ac:dyDescent="0.2">
      <c r="A35" s="37">
        <v>7</v>
      </c>
      <c r="B35" s="52"/>
      <c r="C35" s="53"/>
      <c r="D35" s="32"/>
      <c r="E35" s="131"/>
      <c r="F35" s="131"/>
      <c r="G35" s="131"/>
      <c r="H35" s="131"/>
      <c r="I35" s="131"/>
      <c r="J35" s="131"/>
      <c r="K35" s="131"/>
      <c r="L35" s="131"/>
      <c r="M35" s="139"/>
    </row>
    <row r="36" spans="1:13" ht="25.5" x14ac:dyDescent="0.2">
      <c r="A36" s="37">
        <v>8</v>
      </c>
      <c r="B36" s="52"/>
      <c r="C36" s="53" t="s">
        <v>10</v>
      </c>
      <c r="D36" s="52"/>
      <c r="E36" s="132"/>
      <c r="F36" s="132"/>
      <c r="G36" s="133">
        <v>296077</v>
      </c>
      <c r="H36" s="140" t="s">
        <v>623</v>
      </c>
      <c r="I36" s="132"/>
      <c r="J36" s="138"/>
      <c r="K36" s="132"/>
      <c r="L36" s="132"/>
      <c r="M36" s="144">
        <f>+M37</f>
        <v>1450000000</v>
      </c>
    </row>
    <row r="37" spans="1:13" x14ac:dyDescent="0.2">
      <c r="A37" s="37">
        <v>9</v>
      </c>
      <c r="B37" s="52"/>
      <c r="C37" s="53"/>
      <c r="D37" s="52"/>
      <c r="E37" s="132"/>
      <c r="F37" s="132"/>
      <c r="G37" s="133"/>
      <c r="H37" s="140" t="s">
        <v>835</v>
      </c>
      <c r="I37" s="132"/>
      <c r="J37" s="138"/>
      <c r="K37" s="132"/>
      <c r="L37" s="132"/>
      <c r="M37" s="144">
        <f>2500000000+500000000+1000000000+400000000+200000000+750000000+500000000-4400000000</f>
        <v>1450000000</v>
      </c>
    </row>
    <row r="38" spans="1:13" x14ac:dyDescent="0.2">
      <c r="A38" s="37">
        <v>6</v>
      </c>
      <c r="B38" s="52" t="s">
        <v>955</v>
      </c>
      <c r="C38" s="53"/>
      <c r="D38" s="52"/>
      <c r="E38" s="132"/>
      <c r="F38" s="132"/>
      <c r="G38" s="133"/>
      <c r="H38" s="141" t="s">
        <v>464</v>
      </c>
      <c r="I38" s="132"/>
      <c r="J38" s="138"/>
      <c r="K38" s="132"/>
      <c r="L38" s="132"/>
      <c r="M38" s="142">
        <f>+M41</f>
        <v>100000000</v>
      </c>
    </row>
    <row r="39" spans="1:13" ht="25.5" x14ac:dyDescent="0.2">
      <c r="A39" s="37"/>
      <c r="B39" s="52"/>
      <c r="C39" s="53"/>
      <c r="D39" s="52"/>
      <c r="E39" s="143">
        <v>432</v>
      </c>
      <c r="F39" s="132" t="s">
        <v>1080</v>
      </c>
      <c r="G39" s="133"/>
      <c r="H39" s="140" t="s">
        <v>97</v>
      </c>
      <c r="I39" s="143">
        <v>2</v>
      </c>
      <c r="J39" s="138" t="s">
        <v>714</v>
      </c>
      <c r="K39" s="143">
        <v>1</v>
      </c>
      <c r="L39" s="132" t="s">
        <v>301</v>
      </c>
      <c r="M39" s="142"/>
    </row>
    <row r="40" spans="1:13" ht="25.5" x14ac:dyDescent="0.2">
      <c r="A40" s="37">
        <v>7</v>
      </c>
      <c r="B40" s="52"/>
      <c r="C40" s="53"/>
      <c r="D40" s="52"/>
      <c r="E40" s="143">
        <v>433</v>
      </c>
      <c r="F40" s="132" t="s">
        <v>1080</v>
      </c>
      <c r="G40" s="133"/>
      <c r="H40" s="140" t="s">
        <v>425</v>
      </c>
      <c r="I40" s="143">
        <v>15</v>
      </c>
      <c r="J40" s="138" t="s">
        <v>800</v>
      </c>
      <c r="K40" s="143">
        <v>15</v>
      </c>
      <c r="L40" s="132" t="s">
        <v>1195</v>
      </c>
      <c r="M40" s="139"/>
    </row>
    <row r="41" spans="1:13" ht="38.25" x14ac:dyDescent="0.2">
      <c r="A41" s="37">
        <v>8</v>
      </c>
      <c r="B41" s="52"/>
      <c r="C41" s="53" t="s">
        <v>10</v>
      </c>
      <c r="D41" s="52"/>
      <c r="E41" s="132"/>
      <c r="F41" s="132"/>
      <c r="G41" s="133">
        <v>296074</v>
      </c>
      <c r="H41" s="140" t="s">
        <v>833</v>
      </c>
      <c r="I41" s="132"/>
      <c r="J41" s="138"/>
      <c r="K41" s="132"/>
      <c r="L41" s="132"/>
      <c r="M41" s="144">
        <f>+M42</f>
        <v>100000000</v>
      </c>
    </row>
    <row r="42" spans="1:13" x14ac:dyDescent="0.2">
      <c r="A42" s="37">
        <v>9</v>
      </c>
      <c r="B42" s="52"/>
      <c r="C42" s="53"/>
      <c r="D42" s="52"/>
      <c r="E42" s="132"/>
      <c r="F42" s="132"/>
      <c r="G42" s="133"/>
      <c r="H42" s="140" t="s">
        <v>835</v>
      </c>
      <c r="I42" s="132"/>
      <c r="J42" s="138"/>
      <c r="K42" s="132"/>
      <c r="L42" s="132"/>
      <c r="M42" s="144">
        <f>400000000+200000000-500000000</f>
        <v>100000000</v>
      </c>
    </row>
    <row r="43" spans="1:13" x14ac:dyDescent="0.2">
      <c r="A43" s="37"/>
      <c r="B43" s="52"/>
      <c r="C43" s="53"/>
      <c r="D43" s="52"/>
      <c r="E43" s="132"/>
      <c r="F43" s="132"/>
      <c r="G43" s="133"/>
      <c r="H43" s="140"/>
      <c r="I43" s="132"/>
      <c r="J43" s="138"/>
      <c r="K43" s="132"/>
      <c r="L43" s="132"/>
      <c r="M43" s="144"/>
    </row>
    <row r="44" spans="1:13" ht="33" customHeight="1" x14ac:dyDescent="0.2">
      <c r="A44" s="37">
        <v>4</v>
      </c>
      <c r="B44" s="52" t="s">
        <v>497</v>
      </c>
      <c r="C44" s="53"/>
      <c r="D44" s="52"/>
      <c r="E44" s="132"/>
      <c r="F44" s="132"/>
      <c r="G44" s="133"/>
      <c r="H44" s="141" t="s">
        <v>291</v>
      </c>
      <c r="I44" s="132"/>
      <c r="J44" s="138"/>
      <c r="K44" s="132"/>
      <c r="L44" s="132"/>
      <c r="M44" s="142">
        <f>+M46+M56+M52</f>
        <v>800000000</v>
      </c>
    </row>
    <row r="45" spans="1:13" ht="25.5" x14ac:dyDescent="0.2">
      <c r="A45" s="37">
        <v>5</v>
      </c>
      <c r="B45" s="52"/>
      <c r="C45" s="53"/>
      <c r="D45" s="52"/>
      <c r="E45" s="143">
        <v>434</v>
      </c>
      <c r="F45" s="132" t="s">
        <v>268</v>
      </c>
      <c r="G45" s="133"/>
      <c r="H45" s="140" t="s">
        <v>476</v>
      </c>
      <c r="I45" s="143">
        <v>737</v>
      </c>
      <c r="J45" s="138" t="s">
        <v>298</v>
      </c>
      <c r="K45" s="143"/>
      <c r="L45" s="132"/>
      <c r="M45" s="139"/>
    </row>
    <row r="46" spans="1:13" ht="25.5" x14ac:dyDescent="0.2">
      <c r="A46" s="37">
        <v>6</v>
      </c>
      <c r="B46" s="52" t="s">
        <v>857</v>
      </c>
      <c r="C46" s="53"/>
      <c r="D46" s="52"/>
      <c r="E46" s="132"/>
      <c r="F46" s="132"/>
      <c r="G46" s="133"/>
      <c r="H46" s="141" t="s">
        <v>219</v>
      </c>
      <c r="I46" s="132"/>
      <c r="J46" s="138"/>
      <c r="K46" s="132"/>
      <c r="L46" s="132"/>
      <c r="M46" s="142">
        <f>+M50</f>
        <v>600000000</v>
      </c>
    </row>
    <row r="47" spans="1:13" ht="25.5" x14ac:dyDescent="0.2">
      <c r="A47" s="37"/>
      <c r="B47" s="52"/>
      <c r="C47" s="53"/>
      <c r="D47" s="52" t="s">
        <v>419</v>
      </c>
      <c r="E47" s="143">
        <v>435</v>
      </c>
      <c r="F47" s="132" t="s">
        <v>1080</v>
      </c>
      <c r="G47" s="133"/>
      <c r="H47" s="140" t="s">
        <v>96</v>
      </c>
      <c r="I47" s="143">
        <v>4</v>
      </c>
      <c r="J47" s="138" t="s">
        <v>964</v>
      </c>
      <c r="K47" s="143">
        <v>1</v>
      </c>
      <c r="L47" s="132" t="s">
        <v>1025</v>
      </c>
      <c r="M47" s="142"/>
    </row>
    <row r="48" spans="1:13" ht="25.5" x14ac:dyDescent="0.2">
      <c r="A48" s="37">
        <v>7</v>
      </c>
      <c r="B48" s="52"/>
      <c r="C48" s="53"/>
      <c r="D48" s="52" t="s">
        <v>419</v>
      </c>
      <c r="E48" s="143">
        <v>436</v>
      </c>
      <c r="F48" s="132" t="s">
        <v>1080</v>
      </c>
      <c r="G48" s="133"/>
      <c r="H48" s="140" t="s">
        <v>1035</v>
      </c>
      <c r="I48" s="143">
        <v>100</v>
      </c>
      <c r="J48" s="138" t="s">
        <v>1039</v>
      </c>
      <c r="K48" s="143">
        <v>6</v>
      </c>
      <c r="L48" s="132" t="s">
        <v>841</v>
      </c>
      <c r="M48" s="139"/>
    </row>
    <row r="49" spans="1:13" x14ac:dyDescent="0.2">
      <c r="A49" s="37">
        <v>7</v>
      </c>
      <c r="B49" s="52"/>
      <c r="C49" s="53"/>
      <c r="D49" s="32"/>
      <c r="E49" s="131"/>
      <c r="F49" s="131"/>
      <c r="G49" s="131"/>
      <c r="H49" s="131"/>
      <c r="I49" s="131"/>
      <c r="J49" s="131"/>
      <c r="K49" s="131"/>
      <c r="L49" s="131"/>
      <c r="M49" s="139"/>
    </row>
    <row r="50" spans="1:13" ht="38.25" x14ac:dyDescent="0.2">
      <c r="A50" s="37">
        <v>8</v>
      </c>
      <c r="B50" s="52"/>
      <c r="C50" s="53" t="s">
        <v>10</v>
      </c>
      <c r="D50" s="52"/>
      <c r="E50" s="132"/>
      <c r="F50" s="132"/>
      <c r="G50" s="133">
        <v>296076</v>
      </c>
      <c r="H50" s="140" t="s">
        <v>1013</v>
      </c>
      <c r="I50" s="132"/>
      <c r="J50" s="138"/>
      <c r="K50" s="132"/>
      <c r="L50" s="132"/>
      <c r="M50" s="144">
        <f>+M51</f>
        <v>600000000</v>
      </c>
    </row>
    <row r="51" spans="1:13" x14ac:dyDescent="0.2">
      <c r="A51" s="37">
        <v>9</v>
      </c>
      <c r="B51" s="52"/>
      <c r="C51" s="53"/>
      <c r="D51" s="52"/>
      <c r="E51" s="132"/>
      <c r="F51" s="132"/>
      <c r="G51" s="133"/>
      <c r="H51" s="140" t="s">
        <v>835</v>
      </c>
      <c r="I51" s="132"/>
      <c r="J51" s="138"/>
      <c r="K51" s="132"/>
      <c r="L51" s="132"/>
      <c r="M51" s="144">
        <f>250000000+750000000-400000000</f>
        <v>600000000</v>
      </c>
    </row>
    <row r="52" spans="1:13" x14ac:dyDescent="0.2">
      <c r="A52" s="37"/>
      <c r="B52" s="52"/>
      <c r="C52" s="53"/>
      <c r="D52" s="52"/>
      <c r="E52" s="132"/>
      <c r="F52" s="132"/>
      <c r="G52" s="133"/>
      <c r="H52" s="141" t="s">
        <v>1132</v>
      </c>
      <c r="I52" s="168"/>
      <c r="J52" s="169"/>
      <c r="K52" s="168"/>
      <c r="L52" s="168"/>
      <c r="M52" s="142">
        <f>+M54</f>
        <v>100000000</v>
      </c>
    </row>
    <row r="53" spans="1:13" ht="25.5" x14ac:dyDescent="0.2">
      <c r="A53" s="37"/>
      <c r="B53" s="52"/>
      <c r="C53" s="53"/>
      <c r="D53" s="52" t="s">
        <v>836</v>
      </c>
      <c r="E53" s="143">
        <v>437</v>
      </c>
      <c r="F53" s="132" t="s">
        <v>1116</v>
      </c>
      <c r="G53" s="133"/>
      <c r="H53" s="140" t="s">
        <v>1133</v>
      </c>
      <c r="I53" s="143">
        <v>1</v>
      </c>
      <c r="J53" s="138" t="s">
        <v>1134</v>
      </c>
      <c r="K53" s="132" t="s">
        <v>1118</v>
      </c>
      <c r="L53" s="132" t="s">
        <v>1186</v>
      </c>
      <c r="M53" s="144"/>
    </row>
    <row r="54" spans="1:13" ht="38.25" x14ac:dyDescent="0.2">
      <c r="A54" s="37"/>
      <c r="B54" s="52"/>
      <c r="C54" s="53"/>
      <c r="D54" s="52"/>
      <c r="E54" s="143"/>
      <c r="F54" s="132"/>
      <c r="G54" s="133">
        <v>296076</v>
      </c>
      <c r="H54" s="140" t="s">
        <v>1013</v>
      </c>
      <c r="I54" s="143"/>
      <c r="J54" s="138"/>
      <c r="K54" s="132"/>
      <c r="L54" s="132"/>
      <c r="M54" s="144">
        <f>+M55</f>
        <v>100000000</v>
      </c>
    </row>
    <row r="55" spans="1:13" x14ac:dyDescent="0.2">
      <c r="A55" s="37"/>
      <c r="B55" s="52"/>
      <c r="C55" s="53"/>
      <c r="D55" s="52"/>
      <c r="E55" s="143"/>
      <c r="F55" s="132"/>
      <c r="G55" s="133"/>
      <c r="H55" s="140" t="s">
        <v>835</v>
      </c>
      <c r="I55" s="143"/>
      <c r="J55" s="138"/>
      <c r="K55" s="132"/>
      <c r="L55" s="132"/>
      <c r="M55" s="144">
        <f>200000000-100000000</f>
        <v>100000000</v>
      </c>
    </row>
    <row r="56" spans="1:13" x14ac:dyDescent="0.2">
      <c r="A56" s="37">
        <v>6</v>
      </c>
      <c r="B56" s="52" t="s">
        <v>955</v>
      </c>
      <c r="C56" s="53"/>
      <c r="D56" s="52"/>
      <c r="E56" s="132"/>
      <c r="F56" s="132"/>
      <c r="G56" s="133"/>
      <c r="H56" s="141" t="s">
        <v>500</v>
      </c>
      <c r="I56" s="132"/>
      <c r="J56" s="138"/>
      <c r="K56" s="132"/>
      <c r="L56" s="132"/>
      <c r="M56" s="142">
        <f>+M59</f>
        <v>100000000</v>
      </c>
    </row>
    <row r="57" spans="1:13" ht="38.25" x14ac:dyDescent="0.2">
      <c r="A57" s="37">
        <v>7</v>
      </c>
      <c r="B57" s="52"/>
      <c r="C57" s="53"/>
      <c r="D57" s="52" t="s">
        <v>63</v>
      </c>
      <c r="E57" s="143">
        <v>438</v>
      </c>
      <c r="F57" s="132" t="s">
        <v>1080</v>
      </c>
      <c r="G57" s="133"/>
      <c r="H57" s="140" t="s">
        <v>276</v>
      </c>
      <c r="I57" s="143">
        <v>1</v>
      </c>
      <c r="J57" s="138" t="s">
        <v>800</v>
      </c>
      <c r="K57" s="143" t="s">
        <v>1186</v>
      </c>
      <c r="L57" s="132" t="s">
        <v>1186</v>
      </c>
      <c r="M57" s="139"/>
    </row>
    <row r="58" spans="1:13" ht="25.5" x14ac:dyDescent="0.2">
      <c r="A58" s="37"/>
      <c r="B58" s="52"/>
      <c r="C58" s="53"/>
      <c r="D58" s="52" t="s">
        <v>63</v>
      </c>
      <c r="E58" s="143">
        <v>439</v>
      </c>
      <c r="F58" s="132" t="s">
        <v>1080</v>
      </c>
      <c r="G58" s="133"/>
      <c r="H58" s="140" t="s">
        <v>1419</v>
      </c>
      <c r="I58" s="143">
        <v>50</v>
      </c>
      <c r="J58" s="138" t="s">
        <v>1420</v>
      </c>
      <c r="K58" s="143">
        <v>2</v>
      </c>
      <c r="L58" s="132" t="s">
        <v>1176</v>
      </c>
      <c r="M58" s="139"/>
    </row>
    <row r="59" spans="1:13" ht="38.25" x14ac:dyDescent="0.2">
      <c r="A59" s="37">
        <v>8</v>
      </c>
      <c r="B59" s="52"/>
      <c r="C59" s="53" t="s">
        <v>10</v>
      </c>
      <c r="D59" s="52"/>
      <c r="E59" s="132"/>
      <c r="F59" s="132"/>
      <c r="G59" s="133">
        <v>296076</v>
      </c>
      <c r="H59" s="140" t="s">
        <v>1013</v>
      </c>
      <c r="I59" s="132"/>
      <c r="J59" s="138"/>
      <c r="K59" s="132"/>
      <c r="L59" s="132"/>
      <c r="M59" s="144">
        <f>+M60</f>
        <v>100000000</v>
      </c>
    </row>
    <row r="60" spans="1:13" x14ac:dyDescent="0.2">
      <c r="A60" s="37">
        <v>9</v>
      </c>
      <c r="B60" s="52"/>
      <c r="C60" s="53"/>
      <c r="D60" s="52"/>
      <c r="E60" s="132"/>
      <c r="F60" s="132"/>
      <c r="G60" s="133"/>
      <c r="H60" s="140" t="s">
        <v>835</v>
      </c>
      <c r="I60" s="132"/>
      <c r="J60" s="138"/>
      <c r="K60" s="132"/>
      <c r="L60" s="132"/>
      <c r="M60" s="144">
        <f>100000000+300000000-300000000</f>
        <v>100000000</v>
      </c>
    </row>
    <row r="61" spans="1:13" x14ac:dyDescent="0.2">
      <c r="A61" s="37"/>
      <c r="B61" s="52"/>
      <c r="C61" s="53"/>
      <c r="D61" s="52"/>
      <c r="E61" s="132"/>
      <c r="F61" s="132"/>
      <c r="G61" s="133"/>
      <c r="H61" s="140"/>
      <c r="I61" s="132"/>
      <c r="J61" s="138"/>
      <c r="K61" s="132"/>
      <c r="L61" s="132"/>
      <c r="M61" s="144"/>
    </row>
    <row r="62" spans="1:13" ht="30" x14ac:dyDescent="0.25">
      <c r="A62" s="37">
        <v>10</v>
      </c>
      <c r="B62" s="52"/>
      <c r="C62" s="53"/>
      <c r="D62" s="52"/>
      <c r="E62" s="132"/>
      <c r="F62" s="132"/>
      <c r="G62" s="133"/>
      <c r="H62" s="134" t="s">
        <v>526</v>
      </c>
      <c r="I62" s="135"/>
      <c r="J62" s="134"/>
      <c r="K62" s="135"/>
      <c r="L62" s="135"/>
      <c r="M62" s="136">
        <f>+M9+M18</f>
        <v>4250000000</v>
      </c>
    </row>
    <row r="63" spans="1:13" ht="15" x14ac:dyDescent="0.25">
      <c r="A63" s="37"/>
      <c r="B63" s="52"/>
      <c r="C63" s="53"/>
      <c r="D63" s="52"/>
      <c r="E63" s="52"/>
      <c r="F63" s="52"/>
      <c r="G63" s="61"/>
      <c r="H63" s="58"/>
      <c r="I63" s="59"/>
      <c r="J63" s="58"/>
      <c r="K63" s="59"/>
      <c r="L63" s="59"/>
      <c r="M63" s="64"/>
    </row>
    <row r="64" spans="1:13" ht="15" x14ac:dyDescent="0.25">
      <c r="A64" s="37"/>
      <c r="B64" s="52"/>
      <c r="C64" s="53"/>
      <c r="D64" s="52"/>
      <c r="E64" s="52"/>
      <c r="F64" s="52"/>
      <c r="G64" s="61"/>
      <c r="H64" s="58"/>
      <c r="I64" s="59"/>
      <c r="J64" s="58"/>
      <c r="K64" s="59"/>
      <c r="L64" s="59"/>
      <c r="M64" s="64"/>
    </row>
  </sheetData>
  <mergeCells count="1">
    <mergeCell ref="B2:M2"/>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80"/>
  <sheetViews>
    <sheetView topLeftCell="F69" zoomScale="80" zoomScaleNormal="80" workbookViewId="0">
      <selection activeCell="N76" sqref="N76:BO77"/>
    </sheetView>
  </sheetViews>
  <sheetFormatPr baseColWidth="10" defaultColWidth="9.140625" defaultRowHeight="12.75" x14ac:dyDescent="0.2"/>
  <cols>
    <col min="1" max="1" width="13.42578125" style="32" hidden="1" customWidth="1"/>
    <col min="2" max="2" width="9.42578125" style="69" customWidth="1"/>
    <col min="3" max="3" width="16.42578125" style="70" customWidth="1"/>
    <col min="4" max="4" width="8.28515625" style="69" customWidth="1"/>
    <col min="5" max="5" width="9.140625" style="69"/>
    <col min="6" max="6" width="11.28515625" style="69" customWidth="1"/>
    <col min="7" max="7" width="8.85546875" style="69" customWidth="1"/>
    <col min="8" max="8" width="62.7109375"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1" spans="1:117" x14ac:dyDescent="0.2">
      <c r="B1" s="192"/>
      <c r="C1" s="193"/>
      <c r="D1" s="192"/>
      <c r="E1" s="192"/>
      <c r="F1" s="192"/>
      <c r="G1" s="192"/>
      <c r="H1" s="170"/>
      <c r="I1" s="192"/>
      <c r="J1" s="193"/>
      <c r="K1" s="192"/>
      <c r="L1" s="192"/>
      <c r="M1" s="175"/>
    </row>
    <row r="2" spans="1:117" ht="24" customHeight="1" x14ac:dyDescent="0.2">
      <c r="B2" s="210" t="s">
        <v>1103</v>
      </c>
      <c r="C2" s="210"/>
      <c r="D2" s="210"/>
      <c r="E2" s="210"/>
      <c r="F2" s="210"/>
      <c r="G2" s="210"/>
      <c r="H2" s="210"/>
      <c r="I2" s="210"/>
      <c r="J2" s="210"/>
      <c r="K2" s="210"/>
      <c r="L2" s="210"/>
      <c r="M2" s="210"/>
    </row>
    <row r="3" spans="1:117" x14ac:dyDescent="0.2">
      <c r="B3" s="192"/>
      <c r="C3" s="193"/>
      <c r="D3" s="192"/>
      <c r="E3" s="192"/>
      <c r="F3" s="192"/>
      <c r="G3" s="192"/>
      <c r="H3" s="170"/>
      <c r="I3" s="192"/>
      <c r="J3" s="193"/>
      <c r="K3" s="192"/>
      <c r="L3" s="192"/>
      <c r="M3" s="175"/>
    </row>
    <row r="4" spans="1:117" s="33" customFormat="1" ht="56.25" customHeight="1" x14ac:dyDescent="0.2">
      <c r="A4" s="33" t="s">
        <v>641</v>
      </c>
      <c r="B4" s="171" t="s">
        <v>1100</v>
      </c>
      <c r="C4" s="171" t="s">
        <v>1092</v>
      </c>
      <c r="D4" s="205" t="s">
        <v>1091</v>
      </c>
      <c r="E4" s="171" t="s">
        <v>1097</v>
      </c>
      <c r="F4" s="205" t="s">
        <v>1098</v>
      </c>
      <c r="G4" s="205" t="s">
        <v>1093</v>
      </c>
      <c r="H4" s="171" t="s">
        <v>409</v>
      </c>
      <c r="I4" s="171" t="s">
        <v>1094</v>
      </c>
      <c r="J4" s="171" t="s">
        <v>1095</v>
      </c>
      <c r="K4" s="171" t="s">
        <v>1104</v>
      </c>
      <c r="L4" s="171" t="s">
        <v>1096</v>
      </c>
      <c r="M4" s="1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row>
    <row r="5" spans="1:117" ht="15.75" x14ac:dyDescent="0.25">
      <c r="A5" s="37">
        <v>0</v>
      </c>
      <c r="B5" s="189"/>
      <c r="C5" s="190"/>
      <c r="D5" s="189"/>
      <c r="E5" s="189"/>
      <c r="F5" s="189"/>
      <c r="G5" s="195"/>
      <c r="H5" s="211" t="s">
        <v>660</v>
      </c>
      <c r="I5" s="189"/>
      <c r="J5" s="190"/>
      <c r="K5" s="189"/>
      <c r="L5" s="189"/>
      <c r="M5" s="194"/>
    </row>
    <row r="6" spans="1:117" ht="15.75" x14ac:dyDescent="0.25">
      <c r="A6" s="37">
        <v>1</v>
      </c>
      <c r="B6" s="189"/>
      <c r="C6" s="190"/>
      <c r="D6" s="189"/>
      <c r="E6" s="189"/>
      <c r="F6" s="189"/>
      <c r="G6" s="195"/>
      <c r="H6" s="211" t="s">
        <v>920</v>
      </c>
      <c r="I6" s="189"/>
      <c r="J6" s="190"/>
      <c r="K6" s="189"/>
      <c r="L6" s="189"/>
      <c r="M6" s="194"/>
    </row>
    <row r="7" spans="1:117" x14ac:dyDescent="0.2">
      <c r="A7" s="37">
        <v>2</v>
      </c>
      <c r="B7" s="189"/>
      <c r="C7" s="190"/>
      <c r="D7" s="189"/>
      <c r="E7" s="189"/>
      <c r="F7" s="189"/>
      <c r="G7" s="195"/>
      <c r="H7" s="80"/>
      <c r="I7" s="189"/>
      <c r="J7" s="190"/>
      <c r="K7" s="189"/>
      <c r="L7" s="189"/>
      <c r="M7" s="194"/>
    </row>
    <row r="8" spans="1:117" x14ac:dyDescent="0.2">
      <c r="A8" s="37">
        <v>3</v>
      </c>
      <c r="B8" s="189" t="s">
        <v>301</v>
      </c>
      <c r="C8" s="190"/>
      <c r="D8" s="189"/>
      <c r="E8" s="189"/>
      <c r="F8" s="189"/>
      <c r="G8" s="195"/>
      <c r="H8" s="173" t="s">
        <v>981</v>
      </c>
      <c r="I8" s="189"/>
      <c r="J8" s="190"/>
      <c r="K8" s="189"/>
      <c r="L8" s="189"/>
      <c r="M8" s="91">
        <f>+M9</f>
        <v>2000000000</v>
      </c>
    </row>
    <row r="9" spans="1:117" ht="25.5" x14ac:dyDescent="0.2">
      <c r="A9" s="37">
        <v>4</v>
      </c>
      <c r="B9" s="189" t="s">
        <v>1069</v>
      </c>
      <c r="C9" s="190"/>
      <c r="D9" s="189"/>
      <c r="E9" s="189"/>
      <c r="F9" s="189"/>
      <c r="G9" s="195"/>
      <c r="H9" s="173" t="s">
        <v>101</v>
      </c>
      <c r="I9" s="189"/>
      <c r="J9" s="190"/>
      <c r="K9" s="189"/>
      <c r="L9" s="189"/>
      <c r="M9" s="91">
        <f>+M11</f>
        <v>2000000000</v>
      </c>
    </row>
    <row r="10" spans="1:117" ht="25.5" x14ac:dyDescent="0.2">
      <c r="A10" s="37">
        <v>5</v>
      </c>
      <c r="B10" s="189"/>
      <c r="C10" s="190"/>
      <c r="D10" s="189"/>
      <c r="E10" s="196">
        <v>269</v>
      </c>
      <c r="F10" s="189" t="s">
        <v>268</v>
      </c>
      <c r="G10" s="195"/>
      <c r="H10" s="80" t="s">
        <v>360</v>
      </c>
      <c r="I10" s="196">
        <v>116</v>
      </c>
      <c r="J10" s="190" t="s">
        <v>286</v>
      </c>
      <c r="K10" s="196"/>
      <c r="L10" s="189"/>
      <c r="M10" s="194"/>
    </row>
    <row r="11" spans="1:117" x14ac:dyDescent="0.2">
      <c r="A11" s="37">
        <v>6</v>
      </c>
      <c r="B11" s="189" t="s">
        <v>955</v>
      </c>
      <c r="C11" s="190"/>
      <c r="D11" s="189"/>
      <c r="E11" s="189"/>
      <c r="F11" s="189"/>
      <c r="G11" s="195"/>
      <c r="H11" s="173" t="s">
        <v>667</v>
      </c>
      <c r="I11" s="189"/>
      <c r="J11" s="190"/>
      <c r="K11" s="189"/>
      <c r="L11" s="189"/>
      <c r="M11" s="91">
        <f>+M13</f>
        <v>2000000000</v>
      </c>
    </row>
    <row r="12" spans="1:117" ht="42.75" customHeight="1" x14ac:dyDescent="0.2">
      <c r="A12" s="37">
        <v>7</v>
      </c>
      <c r="B12" s="189"/>
      <c r="C12" s="190"/>
      <c r="D12" s="189" t="s">
        <v>1018</v>
      </c>
      <c r="E12" s="196">
        <v>322</v>
      </c>
      <c r="F12" s="189" t="s">
        <v>1080</v>
      </c>
      <c r="G12" s="195"/>
      <c r="H12" s="80" t="s">
        <v>734</v>
      </c>
      <c r="I12" s="196">
        <v>5000</v>
      </c>
      <c r="J12" s="190" t="s">
        <v>816</v>
      </c>
      <c r="K12" s="196">
        <v>0</v>
      </c>
      <c r="L12" s="196">
        <v>2000</v>
      </c>
      <c r="M12" s="194"/>
    </row>
    <row r="13" spans="1:117" ht="25.5" x14ac:dyDescent="0.2">
      <c r="A13" s="37">
        <v>8</v>
      </c>
      <c r="B13" s="189"/>
      <c r="C13" s="190" t="s">
        <v>870</v>
      </c>
      <c r="D13" s="189"/>
      <c r="E13" s="189"/>
      <c r="F13" s="189"/>
      <c r="G13" s="195">
        <v>295980</v>
      </c>
      <c r="H13" s="80" t="s">
        <v>706</v>
      </c>
      <c r="I13" s="189"/>
      <c r="J13" s="190"/>
      <c r="K13" s="189"/>
      <c r="L13" s="189"/>
      <c r="M13" s="183">
        <f>+M14</f>
        <v>2000000000</v>
      </c>
    </row>
    <row r="14" spans="1:117" x14ac:dyDescent="0.2">
      <c r="A14" s="37">
        <v>9</v>
      </c>
      <c r="B14" s="189"/>
      <c r="C14" s="190"/>
      <c r="D14" s="189"/>
      <c r="E14" s="189"/>
      <c r="F14" s="189"/>
      <c r="G14" s="195"/>
      <c r="H14" s="80" t="s">
        <v>835</v>
      </c>
      <c r="I14" s="189"/>
      <c r="J14" s="190"/>
      <c r="K14" s="189"/>
      <c r="L14" s="189"/>
      <c r="M14" s="183">
        <v>2000000000</v>
      </c>
    </row>
    <row r="15" spans="1:117" x14ac:dyDescent="0.2">
      <c r="A15" s="37"/>
      <c r="B15" s="189"/>
      <c r="C15" s="190"/>
      <c r="D15" s="189"/>
      <c r="E15" s="189"/>
      <c r="F15" s="189"/>
      <c r="G15" s="195"/>
      <c r="H15" s="80"/>
      <c r="I15" s="189"/>
      <c r="J15" s="190"/>
      <c r="K15" s="189"/>
      <c r="L15" s="189"/>
      <c r="M15" s="183"/>
    </row>
    <row r="16" spans="1:117" x14ac:dyDescent="0.2">
      <c r="A16" s="37">
        <v>3</v>
      </c>
      <c r="B16" s="189" t="s">
        <v>1025</v>
      </c>
      <c r="C16" s="190"/>
      <c r="D16" s="189"/>
      <c r="E16" s="189"/>
      <c r="F16" s="189"/>
      <c r="G16" s="195"/>
      <c r="H16" s="173" t="s">
        <v>912</v>
      </c>
      <c r="I16" s="189"/>
      <c r="J16" s="190"/>
      <c r="K16" s="189"/>
      <c r="L16" s="189"/>
      <c r="M16" s="91">
        <f>+M17+M38+M58</f>
        <v>66874046566</v>
      </c>
    </row>
    <row r="17" spans="1:13" ht="25.5" x14ac:dyDescent="0.2">
      <c r="A17" s="37">
        <v>4</v>
      </c>
      <c r="B17" s="189" t="s">
        <v>497</v>
      </c>
      <c r="C17" s="190"/>
      <c r="D17" s="189"/>
      <c r="E17" s="189"/>
      <c r="F17" s="189"/>
      <c r="G17" s="195"/>
      <c r="H17" s="173" t="s">
        <v>906</v>
      </c>
      <c r="I17" s="189"/>
      <c r="J17" s="190"/>
      <c r="K17" s="189"/>
      <c r="L17" s="189"/>
      <c r="M17" s="91">
        <f>+M20+M25+M29+M33</f>
        <v>8670249000</v>
      </c>
    </row>
    <row r="18" spans="1:13" ht="38.25" x14ac:dyDescent="0.2">
      <c r="A18" s="37">
        <v>5</v>
      </c>
      <c r="B18" s="189"/>
      <c r="C18" s="190"/>
      <c r="D18" s="189"/>
      <c r="E18" s="196">
        <v>334</v>
      </c>
      <c r="F18" s="189" t="s">
        <v>268</v>
      </c>
      <c r="G18" s="195"/>
      <c r="H18" s="80" t="s">
        <v>1078</v>
      </c>
      <c r="I18" s="196">
        <v>4000</v>
      </c>
      <c r="J18" s="190" t="s">
        <v>208</v>
      </c>
      <c r="K18" s="196">
        <v>2029</v>
      </c>
      <c r="L18" s="196">
        <v>1000</v>
      </c>
      <c r="M18" s="194"/>
    </row>
    <row r="19" spans="1:13" ht="38.25" x14ac:dyDescent="0.2">
      <c r="A19" s="37">
        <v>5</v>
      </c>
      <c r="B19" s="189"/>
      <c r="C19" s="190"/>
      <c r="D19" s="189"/>
      <c r="E19" s="196">
        <v>335</v>
      </c>
      <c r="F19" s="189" t="s">
        <v>268</v>
      </c>
      <c r="G19" s="195"/>
      <c r="H19" s="80" t="s">
        <v>81</v>
      </c>
      <c r="I19" s="196">
        <v>10000</v>
      </c>
      <c r="J19" s="190" t="s">
        <v>633</v>
      </c>
      <c r="K19" s="196">
        <v>2285</v>
      </c>
      <c r="L19" s="196">
        <v>3000</v>
      </c>
      <c r="M19" s="194"/>
    </row>
    <row r="20" spans="1:13" ht="25.5" x14ac:dyDescent="0.2">
      <c r="A20" s="37">
        <v>6</v>
      </c>
      <c r="B20" s="189" t="s">
        <v>857</v>
      </c>
      <c r="C20" s="190"/>
      <c r="D20" s="189"/>
      <c r="E20" s="189"/>
      <c r="F20" s="189"/>
      <c r="G20" s="195"/>
      <c r="H20" s="173" t="s">
        <v>346</v>
      </c>
      <c r="I20" s="189"/>
      <c r="J20" s="190"/>
      <c r="K20" s="189"/>
      <c r="L20" s="189"/>
      <c r="M20" s="91">
        <f>+M23</f>
        <v>8020249000</v>
      </c>
    </row>
    <row r="21" spans="1:13" ht="51" x14ac:dyDescent="0.2">
      <c r="A21" s="37"/>
      <c r="B21" s="189"/>
      <c r="C21" s="190"/>
      <c r="D21" s="189" t="s">
        <v>717</v>
      </c>
      <c r="E21" s="196">
        <v>336</v>
      </c>
      <c r="F21" s="189" t="s">
        <v>1080</v>
      </c>
      <c r="G21" s="195"/>
      <c r="H21" s="80" t="s">
        <v>814</v>
      </c>
      <c r="I21" s="196">
        <v>4000</v>
      </c>
      <c r="J21" s="190" t="s">
        <v>208</v>
      </c>
      <c r="K21" s="196">
        <v>2029</v>
      </c>
      <c r="L21" s="189" t="s">
        <v>1283</v>
      </c>
      <c r="M21" s="91"/>
    </row>
    <row r="22" spans="1:13" ht="38.25" x14ac:dyDescent="0.2">
      <c r="A22" s="37">
        <v>7</v>
      </c>
      <c r="B22" s="189"/>
      <c r="C22" s="190"/>
      <c r="D22" s="189" t="s">
        <v>717</v>
      </c>
      <c r="E22" s="196">
        <v>337</v>
      </c>
      <c r="F22" s="189" t="s">
        <v>1080</v>
      </c>
      <c r="G22" s="195"/>
      <c r="H22" s="80" t="s">
        <v>213</v>
      </c>
      <c r="I22" s="196">
        <v>500</v>
      </c>
      <c r="J22" s="190" t="s">
        <v>208</v>
      </c>
      <c r="K22" s="196">
        <v>159</v>
      </c>
      <c r="L22" s="189" t="s">
        <v>1284</v>
      </c>
      <c r="M22" s="194"/>
    </row>
    <row r="23" spans="1:13" ht="29.45" customHeight="1" x14ac:dyDescent="0.2">
      <c r="A23" s="37">
        <v>8</v>
      </c>
      <c r="B23" s="189"/>
      <c r="C23" s="190" t="s">
        <v>113</v>
      </c>
      <c r="D23" s="189"/>
      <c r="E23" s="189"/>
      <c r="F23" s="189"/>
      <c r="G23" s="195">
        <v>295977</v>
      </c>
      <c r="H23" s="80" t="s">
        <v>662</v>
      </c>
      <c r="I23" s="189"/>
      <c r="J23" s="190"/>
      <c r="K23" s="189"/>
      <c r="L23" s="189"/>
      <c r="M23" s="183">
        <f>+M24</f>
        <v>8020249000</v>
      </c>
    </row>
    <row r="24" spans="1:13" x14ac:dyDescent="0.2">
      <c r="A24" s="37">
        <v>9</v>
      </c>
      <c r="B24" s="189"/>
      <c r="C24" s="190"/>
      <c r="D24" s="189"/>
      <c r="E24" s="189"/>
      <c r="F24" s="189"/>
      <c r="G24" s="195"/>
      <c r="H24" s="80" t="s">
        <v>865</v>
      </c>
      <c r="I24" s="189"/>
      <c r="J24" s="190"/>
      <c r="K24" s="189"/>
      <c r="L24" s="189"/>
      <c r="M24" s="183">
        <f>7868226000+152023000</f>
        <v>8020249000</v>
      </c>
    </row>
    <row r="25" spans="1:13" ht="25.5" x14ac:dyDescent="0.2">
      <c r="A25" s="37">
        <v>6</v>
      </c>
      <c r="B25" s="189" t="s">
        <v>497</v>
      </c>
      <c r="C25" s="190"/>
      <c r="D25" s="189"/>
      <c r="E25" s="189"/>
      <c r="F25" s="189"/>
      <c r="G25" s="195"/>
      <c r="H25" s="173" t="s">
        <v>967</v>
      </c>
      <c r="I25" s="189"/>
      <c r="J25" s="190"/>
      <c r="K25" s="189"/>
      <c r="L25" s="189"/>
      <c r="M25" s="91">
        <f>+M27</f>
        <v>250000000</v>
      </c>
    </row>
    <row r="26" spans="1:13" ht="25.5" x14ac:dyDescent="0.2">
      <c r="A26" s="37">
        <v>7</v>
      </c>
      <c r="B26" s="189"/>
      <c r="C26" s="190"/>
      <c r="D26" s="189" t="s">
        <v>83</v>
      </c>
      <c r="E26" s="196">
        <v>340</v>
      </c>
      <c r="F26" s="189" t="s">
        <v>1080</v>
      </c>
      <c r="G26" s="195"/>
      <c r="H26" s="80" t="s">
        <v>600</v>
      </c>
      <c r="I26" s="196">
        <v>4</v>
      </c>
      <c r="J26" s="190" t="s">
        <v>343</v>
      </c>
      <c r="K26" s="196">
        <v>2</v>
      </c>
      <c r="L26" s="189" t="s">
        <v>301</v>
      </c>
      <c r="M26" s="194"/>
    </row>
    <row r="27" spans="1:13" ht="38.25" x14ac:dyDescent="0.2">
      <c r="A27" s="37">
        <v>8</v>
      </c>
      <c r="B27" s="189"/>
      <c r="C27" s="190" t="s">
        <v>10</v>
      </c>
      <c r="D27" s="189"/>
      <c r="E27" s="189"/>
      <c r="F27" s="189"/>
      <c r="G27" s="195">
        <v>295981</v>
      </c>
      <c r="H27" s="80" t="s">
        <v>947</v>
      </c>
      <c r="I27" s="189"/>
      <c r="J27" s="190"/>
      <c r="K27" s="189"/>
      <c r="L27" s="189"/>
      <c r="M27" s="183">
        <f>+M28</f>
        <v>250000000</v>
      </c>
    </row>
    <row r="28" spans="1:13" x14ac:dyDescent="0.2">
      <c r="A28" s="37">
        <v>9</v>
      </c>
      <c r="B28" s="189"/>
      <c r="C28" s="190"/>
      <c r="D28" s="189"/>
      <c r="E28" s="189"/>
      <c r="F28" s="189"/>
      <c r="G28" s="195"/>
      <c r="H28" s="80" t="s">
        <v>835</v>
      </c>
      <c r="I28" s="189"/>
      <c r="J28" s="190"/>
      <c r="K28" s="189"/>
      <c r="L28" s="189"/>
      <c r="M28" s="183">
        <f>290000000-40000000</f>
        <v>250000000</v>
      </c>
    </row>
    <row r="29" spans="1:13" x14ac:dyDescent="0.2">
      <c r="A29" s="37">
        <v>6</v>
      </c>
      <c r="B29" s="189" t="s">
        <v>955</v>
      </c>
      <c r="C29" s="190"/>
      <c r="D29" s="189"/>
      <c r="E29" s="189"/>
      <c r="F29" s="189"/>
      <c r="G29" s="195"/>
      <c r="H29" s="173" t="s">
        <v>738</v>
      </c>
      <c r="I29" s="189"/>
      <c r="J29" s="190"/>
      <c r="K29" s="189"/>
      <c r="L29" s="189"/>
      <c r="M29" s="91">
        <f>+M31</f>
        <v>300000000</v>
      </c>
    </row>
    <row r="30" spans="1:13" ht="51" x14ac:dyDescent="0.2">
      <c r="A30" s="37">
        <v>7</v>
      </c>
      <c r="B30" s="189"/>
      <c r="C30" s="190"/>
      <c r="D30" s="189" t="s">
        <v>661</v>
      </c>
      <c r="E30" s="196">
        <v>342</v>
      </c>
      <c r="F30" s="189" t="s">
        <v>1080</v>
      </c>
      <c r="G30" s="195"/>
      <c r="H30" s="80" t="s">
        <v>5</v>
      </c>
      <c r="I30" s="196">
        <v>10000</v>
      </c>
      <c r="J30" s="190" t="s">
        <v>633</v>
      </c>
      <c r="K30" s="196">
        <v>2285</v>
      </c>
      <c r="L30" s="189" t="s">
        <v>1189</v>
      </c>
      <c r="M30" s="194"/>
    </row>
    <row r="31" spans="1:13" ht="42" customHeight="1" x14ac:dyDescent="0.2">
      <c r="A31" s="37">
        <v>8</v>
      </c>
      <c r="B31" s="189"/>
      <c r="C31" s="190" t="s">
        <v>10</v>
      </c>
      <c r="D31" s="189"/>
      <c r="E31" s="189"/>
      <c r="F31" s="189"/>
      <c r="G31" s="195">
        <v>295983</v>
      </c>
      <c r="H31" s="80" t="s">
        <v>231</v>
      </c>
      <c r="I31" s="189"/>
      <c r="J31" s="190"/>
      <c r="K31" s="189"/>
      <c r="L31" s="189"/>
      <c r="M31" s="183">
        <f>+M32</f>
        <v>300000000</v>
      </c>
    </row>
    <row r="32" spans="1:13" x14ac:dyDescent="0.2">
      <c r="A32" s="37">
        <v>9</v>
      </c>
      <c r="B32" s="189"/>
      <c r="C32" s="190"/>
      <c r="D32" s="189"/>
      <c r="E32" s="189"/>
      <c r="F32" s="189"/>
      <c r="G32" s="195"/>
      <c r="H32" s="80" t="s">
        <v>835</v>
      </c>
      <c r="I32" s="189"/>
      <c r="J32" s="190"/>
      <c r="K32" s="189"/>
      <c r="L32" s="189"/>
      <c r="M32" s="183">
        <f>390000000-90000000</f>
        <v>300000000</v>
      </c>
    </row>
    <row r="33" spans="1:13" ht="25.5" x14ac:dyDescent="0.2">
      <c r="A33" s="37">
        <v>6</v>
      </c>
      <c r="B33" s="189" t="s">
        <v>285</v>
      </c>
      <c r="C33" s="190"/>
      <c r="D33" s="189"/>
      <c r="E33" s="189"/>
      <c r="F33" s="189"/>
      <c r="G33" s="195"/>
      <c r="H33" s="173" t="s">
        <v>150</v>
      </c>
      <c r="I33" s="189"/>
      <c r="J33" s="190"/>
      <c r="K33" s="189"/>
      <c r="L33" s="189"/>
      <c r="M33" s="91">
        <f>+M35</f>
        <v>100000000</v>
      </c>
    </row>
    <row r="34" spans="1:13" ht="38.25" x14ac:dyDescent="0.2">
      <c r="A34" s="37">
        <v>7</v>
      </c>
      <c r="B34" s="189"/>
      <c r="C34" s="190"/>
      <c r="D34" s="189" t="s">
        <v>83</v>
      </c>
      <c r="E34" s="196">
        <v>346</v>
      </c>
      <c r="F34" s="189" t="s">
        <v>1080</v>
      </c>
      <c r="G34" s="195"/>
      <c r="H34" s="80" t="s">
        <v>719</v>
      </c>
      <c r="I34" s="196">
        <v>116</v>
      </c>
      <c r="J34" s="190" t="s">
        <v>496</v>
      </c>
      <c r="K34" s="196">
        <v>1</v>
      </c>
      <c r="L34" s="189" t="s">
        <v>1223</v>
      </c>
      <c r="M34" s="194"/>
    </row>
    <row r="35" spans="1:13" ht="51" x14ac:dyDescent="0.2">
      <c r="A35" s="37">
        <v>8</v>
      </c>
      <c r="B35" s="189"/>
      <c r="C35" s="190" t="s">
        <v>10</v>
      </c>
      <c r="D35" s="189"/>
      <c r="E35" s="189"/>
      <c r="F35" s="189"/>
      <c r="G35" s="195">
        <v>295979</v>
      </c>
      <c r="H35" s="80" t="s">
        <v>58</v>
      </c>
      <c r="I35" s="189"/>
      <c r="J35" s="190"/>
      <c r="K35" s="189"/>
      <c r="L35" s="189"/>
      <c r="M35" s="183">
        <f>+M36</f>
        <v>100000000</v>
      </c>
    </row>
    <row r="36" spans="1:13" x14ac:dyDescent="0.2">
      <c r="A36" s="37">
        <v>9</v>
      </c>
      <c r="B36" s="189"/>
      <c r="C36" s="190"/>
      <c r="D36" s="189"/>
      <c r="E36" s="189"/>
      <c r="F36" s="189"/>
      <c r="G36" s="195"/>
      <c r="H36" s="80" t="s">
        <v>835</v>
      </c>
      <c r="I36" s="189"/>
      <c r="J36" s="190"/>
      <c r="K36" s="189"/>
      <c r="L36" s="189"/>
      <c r="M36" s="183">
        <v>100000000</v>
      </c>
    </row>
    <row r="37" spans="1:13" x14ac:dyDescent="0.2">
      <c r="A37" s="37"/>
      <c r="B37" s="189"/>
      <c r="C37" s="190"/>
      <c r="D37" s="189"/>
      <c r="E37" s="189"/>
      <c r="F37" s="189"/>
      <c r="G37" s="195"/>
      <c r="H37" s="80"/>
      <c r="I37" s="189"/>
      <c r="J37" s="190"/>
      <c r="K37" s="189"/>
      <c r="L37" s="189"/>
      <c r="M37" s="183"/>
    </row>
    <row r="38" spans="1:13" ht="25.5" x14ac:dyDescent="0.2">
      <c r="A38" s="37">
        <v>4</v>
      </c>
      <c r="B38" s="189" t="s">
        <v>955</v>
      </c>
      <c r="C38" s="190"/>
      <c r="D38" s="189"/>
      <c r="E38" s="189"/>
      <c r="F38" s="189"/>
      <c r="G38" s="195"/>
      <c r="H38" s="173" t="s">
        <v>325</v>
      </c>
      <c r="I38" s="189"/>
      <c r="J38" s="190"/>
      <c r="K38" s="189"/>
      <c r="L38" s="189"/>
      <c r="M38" s="91">
        <f>+M41+M51</f>
        <v>57362070326</v>
      </c>
    </row>
    <row r="39" spans="1:13" ht="38.25" x14ac:dyDescent="0.2">
      <c r="A39" s="37">
        <v>5</v>
      </c>
      <c r="B39" s="189"/>
      <c r="C39" s="190"/>
      <c r="D39" s="189"/>
      <c r="E39" s="196">
        <v>347</v>
      </c>
      <c r="F39" s="189" t="s">
        <v>268</v>
      </c>
      <c r="G39" s="195"/>
      <c r="H39" s="80" t="s">
        <v>280</v>
      </c>
      <c r="I39" s="196">
        <v>202000</v>
      </c>
      <c r="J39" s="190" t="s">
        <v>816</v>
      </c>
      <c r="K39" s="196">
        <v>51919</v>
      </c>
      <c r="L39" s="196">
        <v>50000</v>
      </c>
      <c r="M39" s="194"/>
    </row>
    <row r="40" spans="1:13" ht="25.5" x14ac:dyDescent="0.2">
      <c r="A40" s="37">
        <v>5</v>
      </c>
      <c r="B40" s="189"/>
      <c r="C40" s="190"/>
      <c r="D40" s="189"/>
      <c r="E40" s="196">
        <v>348</v>
      </c>
      <c r="F40" s="189" t="s">
        <v>268</v>
      </c>
      <c r="G40" s="195"/>
      <c r="H40" s="80" t="s">
        <v>218</v>
      </c>
      <c r="I40" s="196">
        <v>150000</v>
      </c>
      <c r="J40" s="190" t="s">
        <v>816</v>
      </c>
      <c r="K40" s="196">
        <v>32967</v>
      </c>
      <c r="L40" s="196">
        <v>60000</v>
      </c>
      <c r="M40" s="194"/>
    </row>
    <row r="41" spans="1:13" ht="25.5" x14ac:dyDescent="0.2">
      <c r="A41" s="37">
        <v>6</v>
      </c>
      <c r="B41" s="189" t="s">
        <v>857</v>
      </c>
      <c r="C41" s="190"/>
      <c r="D41" s="189"/>
      <c r="E41" s="189"/>
      <c r="F41" s="189"/>
      <c r="G41" s="195"/>
      <c r="H41" s="173" t="s">
        <v>333</v>
      </c>
      <c r="I41" s="189"/>
      <c r="J41" s="190"/>
      <c r="K41" s="189"/>
      <c r="L41" s="189"/>
      <c r="M41" s="91">
        <f>+M48</f>
        <v>47362070326</v>
      </c>
    </row>
    <row r="42" spans="1:13" ht="25.5" x14ac:dyDescent="0.2">
      <c r="A42" s="37"/>
      <c r="B42" s="189"/>
      <c r="C42" s="190"/>
      <c r="D42" s="189" t="s">
        <v>1018</v>
      </c>
      <c r="E42" s="196">
        <v>349</v>
      </c>
      <c r="F42" s="189" t="s">
        <v>1080</v>
      </c>
      <c r="G42" s="195"/>
      <c r="H42" s="80" t="s">
        <v>1031</v>
      </c>
      <c r="I42" s="196">
        <v>202000</v>
      </c>
      <c r="J42" s="190" t="s">
        <v>816</v>
      </c>
      <c r="K42" s="196">
        <v>51919</v>
      </c>
      <c r="L42" s="196">
        <v>50000</v>
      </c>
      <c r="M42" s="91"/>
    </row>
    <row r="43" spans="1:13" ht="37.5" customHeight="1" x14ac:dyDescent="0.2">
      <c r="A43" s="37">
        <v>7</v>
      </c>
      <c r="B43" s="189"/>
      <c r="C43" s="190"/>
      <c r="D43" s="189" t="s">
        <v>1018</v>
      </c>
      <c r="E43" s="196">
        <v>350</v>
      </c>
      <c r="F43" s="189" t="s">
        <v>1080</v>
      </c>
      <c r="G43" s="195"/>
      <c r="H43" s="80" t="s">
        <v>845</v>
      </c>
      <c r="I43" s="196">
        <v>150000</v>
      </c>
      <c r="J43" s="190" t="s">
        <v>816</v>
      </c>
      <c r="K43" s="196">
        <v>32967</v>
      </c>
      <c r="L43" s="196">
        <v>60000</v>
      </c>
      <c r="M43" s="194"/>
    </row>
    <row r="44" spans="1:13" ht="38.25" x14ac:dyDescent="0.2">
      <c r="A44" s="37">
        <v>7</v>
      </c>
      <c r="B44" s="189"/>
      <c r="C44" s="190"/>
      <c r="D44" s="189" t="s">
        <v>1018</v>
      </c>
      <c r="E44" s="196">
        <v>351</v>
      </c>
      <c r="F44" s="189" t="s">
        <v>1080</v>
      </c>
      <c r="G44" s="195"/>
      <c r="H44" s="80" t="s">
        <v>966</v>
      </c>
      <c r="I44" s="196">
        <v>3000</v>
      </c>
      <c r="J44" s="190" t="s">
        <v>415</v>
      </c>
      <c r="K44" s="196">
        <v>563</v>
      </c>
      <c r="L44" s="196">
        <v>1500</v>
      </c>
      <c r="M44" s="194"/>
    </row>
    <row r="45" spans="1:13" ht="25.5" x14ac:dyDescent="0.2">
      <c r="A45" s="37">
        <v>7</v>
      </c>
      <c r="B45" s="189"/>
      <c r="C45" s="190"/>
      <c r="D45" s="189" t="s">
        <v>1018</v>
      </c>
      <c r="E45" s="196">
        <v>352</v>
      </c>
      <c r="F45" s="189" t="s">
        <v>1080</v>
      </c>
      <c r="G45" s="195"/>
      <c r="H45" s="80" t="s">
        <v>705</v>
      </c>
      <c r="I45" s="196">
        <v>30000</v>
      </c>
      <c r="J45" s="190" t="s">
        <v>1010</v>
      </c>
      <c r="K45" s="196">
        <v>0</v>
      </c>
      <c r="L45" s="196">
        <v>10000</v>
      </c>
      <c r="M45" s="194"/>
    </row>
    <row r="46" spans="1:13" x14ac:dyDescent="0.2">
      <c r="A46" s="37">
        <v>7</v>
      </c>
      <c r="B46" s="189"/>
      <c r="C46" s="190"/>
      <c r="D46" s="175"/>
      <c r="E46" s="175"/>
      <c r="F46" s="175"/>
      <c r="G46" s="175"/>
      <c r="H46" s="175"/>
      <c r="I46" s="175"/>
      <c r="J46" s="175"/>
      <c r="K46" s="175"/>
      <c r="L46" s="175"/>
      <c r="M46" s="194"/>
    </row>
    <row r="47" spans="1:13" ht="25.5" x14ac:dyDescent="0.2">
      <c r="A47" s="37">
        <v>7</v>
      </c>
      <c r="B47" s="189"/>
      <c r="C47" s="190"/>
      <c r="D47" s="189" t="s">
        <v>1018</v>
      </c>
      <c r="E47" s="196">
        <v>353</v>
      </c>
      <c r="F47" s="189" t="s">
        <v>1080</v>
      </c>
      <c r="G47" s="195"/>
      <c r="H47" s="80" t="s">
        <v>1077</v>
      </c>
      <c r="I47" s="196">
        <v>8</v>
      </c>
      <c r="J47" s="190" t="s">
        <v>508</v>
      </c>
      <c r="K47" s="196">
        <v>0</v>
      </c>
      <c r="L47" s="196">
        <v>3</v>
      </c>
      <c r="M47" s="194"/>
    </row>
    <row r="48" spans="1:13" ht="25.5" x14ac:dyDescent="0.2">
      <c r="A48" s="37">
        <v>8</v>
      </c>
      <c r="B48" s="189"/>
      <c r="C48" s="190" t="s">
        <v>870</v>
      </c>
      <c r="D48" s="189"/>
      <c r="E48" s="189"/>
      <c r="F48" s="189"/>
      <c r="G48" s="195">
        <v>295980</v>
      </c>
      <c r="H48" s="80" t="s">
        <v>706</v>
      </c>
      <c r="I48" s="189"/>
      <c r="J48" s="190"/>
      <c r="K48" s="189"/>
      <c r="L48" s="189"/>
      <c r="M48" s="183">
        <f>+M49+M50</f>
        <v>47362070326</v>
      </c>
    </row>
    <row r="49" spans="1:13" x14ac:dyDescent="0.2">
      <c r="A49" s="37">
        <v>9</v>
      </c>
      <c r="B49" s="189"/>
      <c r="C49" s="190"/>
      <c r="D49" s="189"/>
      <c r="E49" s="189"/>
      <c r="F49" s="189"/>
      <c r="G49" s="195"/>
      <c r="H49" s="80" t="s">
        <v>835</v>
      </c>
      <c r="I49" s="189"/>
      <c r="J49" s="190"/>
      <c r="K49" s="189"/>
      <c r="L49" s="189"/>
      <c r="M49" s="183">
        <f>5842381493+3842381493+6000000000+4492613340+10000000000+4500000000</f>
        <v>34677376326</v>
      </c>
    </row>
    <row r="50" spans="1:13" x14ac:dyDescent="0.2">
      <c r="A50" s="37">
        <v>9</v>
      </c>
      <c r="B50" s="189"/>
      <c r="C50" s="190"/>
      <c r="D50" s="189"/>
      <c r="E50" s="189"/>
      <c r="F50" s="189"/>
      <c r="G50" s="195"/>
      <c r="H50" s="80" t="s">
        <v>530</v>
      </c>
      <c r="I50" s="189"/>
      <c r="J50" s="190"/>
      <c r="K50" s="189"/>
      <c r="L50" s="189"/>
      <c r="M50" s="183">
        <f>6157618507+6157618507+369456986</f>
        <v>12684694000</v>
      </c>
    </row>
    <row r="51" spans="1:13" x14ac:dyDescent="0.2">
      <c r="A51" s="37">
        <v>6</v>
      </c>
      <c r="B51" s="189" t="s">
        <v>497</v>
      </c>
      <c r="C51" s="190"/>
      <c r="D51" s="189"/>
      <c r="E51" s="189"/>
      <c r="F51" s="189"/>
      <c r="G51" s="195"/>
      <c r="H51" s="173" t="s">
        <v>910</v>
      </c>
      <c r="I51" s="189"/>
      <c r="J51" s="190"/>
      <c r="K51" s="189"/>
      <c r="L51" s="189"/>
      <c r="M51" s="91">
        <f>+M55</f>
        <v>10000000000</v>
      </c>
    </row>
    <row r="52" spans="1:13" ht="63.75" x14ac:dyDescent="0.2">
      <c r="A52" s="37"/>
      <c r="B52" s="189"/>
      <c r="C52" s="190"/>
      <c r="D52" s="189" t="s">
        <v>1018</v>
      </c>
      <c r="E52" s="196">
        <v>354</v>
      </c>
      <c r="F52" s="189" t="s">
        <v>1080</v>
      </c>
      <c r="G52" s="195"/>
      <c r="H52" s="176" t="s">
        <v>1067</v>
      </c>
      <c r="I52" s="196">
        <v>11</v>
      </c>
      <c r="J52" s="190" t="s">
        <v>440</v>
      </c>
      <c r="K52" s="196">
        <v>7</v>
      </c>
      <c r="L52" s="196">
        <v>3</v>
      </c>
      <c r="M52" s="91"/>
    </row>
    <row r="53" spans="1:13" ht="38.25" x14ac:dyDescent="0.2">
      <c r="A53" s="37">
        <v>7</v>
      </c>
      <c r="B53" s="189"/>
      <c r="C53" s="190"/>
      <c r="D53" s="189" t="s">
        <v>1018</v>
      </c>
      <c r="E53" s="196">
        <v>355</v>
      </c>
      <c r="F53" s="189" t="s">
        <v>1080</v>
      </c>
      <c r="G53" s="195"/>
      <c r="H53" s="80" t="s">
        <v>599</v>
      </c>
      <c r="I53" s="196">
        <v>70000</v>
      </c>
      <c r="J53" s="190" t="s">
        <v>816</v>
      </c>
      <c r="K53" s="196">
        <v>6906</v>
      </c>
      <c r="L53" s="196">
        <v>30000</v>
      </c>
      <c r="M53" s="194"/>
    </row>
    <row r="54" spans="1:13" x14ac:dyDescent="0.2">
      <c r="A54" s="37">
        <v>7</v>
      </c>
      <c r="B54" s="189"/>
      <c r="C54" s="190"/>
      <c r="D54" s="175"/>
      <c r="E54" s="175"/>
      <c r="F54" s="175"/>
      <c r="G54" s="175"/>
      <c r="H54" s="175"/>
      <c r="I54" s="175"/>
      <c r="J54" s="175"/>
      <c r="K54" s="175"/>
      <c r="L54" s="175"/>
      <c r="M54" s="194"/>
    </row>
    <row r="55" spans="1:13" ht="25.5" x14ac:dyDescent="0.2">
      <c r="A55" s="37">
        <v>8</v>
      </c>
      <c r="B55" s="189"/>
      <c r="C55" s="190" t="s">
        <v>870</v>
      </c>
      <c r="D55" s="189"/>
      <c r="E55" s="189"/>
      <c r="F55" s="189"/>
      <c r="G55" s="195">
        <v>295980</v>
      </c>
      <c r="H55" s="80" t="s">
        <v>706</v>
      </c>
      <c r="I55" s="189"/>
      <c r="J55" s="190"/>
      <c r="K55" s="189"/>
      <c r="L55" s="189"/>
      <c r="M55" s="183">
        <f>+M56</f>
        <v>10000000000</v>
      </c>
    </row>
    <row r="56" spans="1:13" x14ac:dyDescent="0.2">
      <c r="A56" s="37">
        <v>9</v>
      </c>
      <c r="B56" s="189"/>
      <c r="C56" s="190"/>
      <c r="D56" s="189"/>
      <c r="E56" s="189"/>
      <c r="F56" s="189"/>
      <c r="G56" s="195"/>
      <c r="H56" s="80" t="s">
        <v>835</v>
      </c>
      <c r="I56" s="189"/>
      <c r="J56" s="190"/>
      <c r="K56" s="189"/>
      <c r="L56" s="189"/>
      <c r="M56" s="183">
        <f>8000000000+2000000000</f>
        <v>10000000000</v>
      </c>
    </row>
    <row r="57" spans="1:13" x14ac:dyDescent="0.2">
      <c r="A57" s="37"/>
      <c r="B57" s="189"/>
      <c r="C57" s="190"/>
      <c r="D57" s="189"/>
      <c r="E57" s="189"/>
      <c r="F57" s="189"/>
      <c r="G57" s="195"/>
      <c r="H57" s="80"/>
      <c r="I57" s="189"/>
      <c r="J57" s="190"/>
      <c r="K57" s="189"/>
      <c r="L57" s="189"/>
      <c r="M57" s="183"/>
    </row>
    <row r="58" spans="1:13" x14ac:dyDescent="0.2">
      <c r="A58" s="37">
        <v>4</v>
      </c>
      <c r="B58" s="189" t="s">
        <v>450</v>
      </c>
      <c r="C58" s="190"/>
      <c r="D58" s="189"/>
      <c r="E58" s="189"/>
      <c r="F58" s="189"/>
      <c r="G58" s="195"/>
      <c r="H58" s="173" t="s">
        <v>567</v>
      </c>
      <c r="I58" s="189"/>
      <c r="J58" s="190"/>
      <c r="K58" s="189"/>
      <c r="L58" s="189"/>
      <c r="M58" s="91">
        <f>+M60+M65+M73</f>
        <v>841727240</v>
      </c>
    </row>
    <row r="59" spans="1:13" ht="25.5" x14ac:dyDescent="0.2">
      <c r="A59" s="37">
        <v>5</v>
      </c>
      <c r="B59" s="189"/>
      <c r="C59" s="190"/>
      <c r="D59" s="189"/>
      <c r="E59" s="196">
        <v>388</v>
      </c>
      <c r="F59" s="189" t="s">
        <v>268</v>
      </c>
      <c r="G59" s="195"/>
      <c r="H59" s="80" t="s">
        <v>391</v>
      </c>
      <c r="I59" s="196">
        <v>50</v>
      </c>
      <c r="J59" s="190" t="s">
        <v>633</v>
      </c>
      <c r="K59" s="196"/>
      <c r="L59" s="189"/>
      <c r="M59" s="194"/>
    </row>
    <row r="60" spans="1:13" x14ac:dyDescent="0.2">
      <c r="A60" s="37">
        <v>6</v>
      </c>
      <c r="B60" s="189" t="s">
        <v>857</v>
      </c>
      <c r="C60" s="190"/>
      <c r="D60" s="189"/>
      <c r="E60" s="189"/>
      <c r="F60" s="189"/>
      <c r="G60" s="195"/>
      <c r="H60" s="173" t="s">
        <v>75</v>
      </c>
      <c r="I60" s="189"/>
      <c r="J60" s="190"/>
      <c r="K60" s="189"/>
      <c r="L60" s="189"/>
      <c r="M60" s="91">
        <f>+M63</f>
        <v>124000000</v>
      </c>
    </row>
    <row r="61" spans="1:13" ht="51" x14ac:dyDescent="0.2">
      <c r="A61" s="37">
        <v>7</v>
      </c>
      <c r="B61" s="189"/>
      <c r="C61" s="190"/>
      <c r="D61" s="189" t="s">
        <v>475</v>
      </c>
      <c r="E61" s="196">
        <v>390</v>
      </c>
      <c r="F61" s="189" t="s">
        <v>1080</v>
      </c>
      <c r="G61" s="195"/>
      <c r="H61" s="80" t="s">
        <v>692</v>
      </c>
      <c r="I61" s="196">
        <v>14</v>
      </c>
      <c r="J61" s="190" t="s">
        <v>496</v>
      </c>
      <c r="K61" s="196">
        <v>0</v>
      </c>
      <c r="L61" s="189" t="s">
        <v>1259</v>
      </c>
      <c r="M61" s="194"/>
    </row>
    <row r="62" spans="1:13" ht="38.25" x14ac:dyDescent="0.2">
      <c r="A62" s="37">
        <v>7</v>
      </c>
      <c r="B62" s="189"/>
      <c r="C62" s="190"/>
      <c r="D62" s="189" t="s">
        <v>475</v>
      </c>
      <c r="E62" s="196">
        <v>391</v>
      </c>
      <c r="F62" s="189" t="s">
        <v>1080</v>
      </c>
      <c r="G62" s="195"/>
      <c r="H62" s="80" t="s">
        <v>395</v>
      </c>
      <c r="I62" s="196">
        <v>1</v>
      </c>
      <c r="J62" s="190" t="s">
        <v>659</v>
      </c>
      <c r="K62" s="196">
        <v>0</v>
      </c>
      <c r="L62" s="189" t="s">
        <v>1285</v>
      </c>
      <c r="M62" s="194"/>
    </row>
    <row r="63" spans="1:13" ht="25.5" x14ac:dyDescent="0.2">
      <c r="A63" s="37">
        <v>8</v>
      </c>
      <c r="B63" s="189"/>
      <c r="C63" s="190" t="s">
        <v>10</v>
      </c>
      <c r="D63" s="189"/>
      <c r="E63" s="189"/>
      <c r="F63" s="189"/>
      <c r="G63" s="195">
        <v>295978</v>
      </c>
      <c r="H63" s="80" t="s">
        <v>624</v>
      </c>
      <c r="I63" s="189"/>
      <c r="J63" s="190"/>
      <c r="K63" s="189"/>
      <c r="L63" s="189"/>
      <c r="M63" s="183">
        <f>+M64</f>
        <v>124000000</v>
      </c>
    </row>
    <row r="64" spans="1:13" x14ac:dyDescent="0.2">
      <c r="A64" s="37">
        <v>9</v>
      </c>
      <c r="B64" s="189"/>
      <c r="C64" s="190"/>
      <c r="D64" s="189"/>
      <c r="E64" s="189"/>
      <c r="F64" s="189"/>
      <c r="G64" s="195"/>
      <c r="H64" s="80" t="s">
        <v>835</v>
      </c>
      <c r="I64" s="189"/>
      <c r="J64" s="190"/>
      <c r="K64" s="189" t="s">
        <v>1115</v>
      </c>
      <c r="L64" s="189"/>
      <c r="M64" s="183">
        <f>64000000+60000000</f>
        <v>124000000</v>
      </c>
    </row>
    <row r="65" spans="1:13" ht="25.5" x14ac:dyDescent="0.2">
      <c r="A65" s="37">
        <v>6</v>
      </c>
      <c r="B65" s="189" t="s">
        <v>497</v>
      </c>
      <c r="C65" s="190"/>
      <c r="D65" s="189"/>
      <c r="E65" s="189"/>
      <c r="F65" s="189"/>
      <c r="G65" s="195"/>
      <c r="H65" s="173" t="s">
        <v>379</v>
      </c>
      <c r="I65" s="189"/>
      <c r="J65" s="190"/>
      <c r="K65" s="189"/>
      <c r="L65" s="189"/>
      <c r="M65" s="91">
        <f>+M69+M71</f>
        <v>617727240</v>
      </c>
    </row>
    <row r="66" spans="1:13" ht="51" x14ac:dyDescent="0.2">
      <c r="A66" s="37">
        <v>7</v>
      </c>
      <c r="B66" s="189"/>
      <c r="C66" s="190"/>
      <c r="D66" s="189" t="s">
        <v>274</v>
      </c>
      <c r="E66" s="196">
        <v>392</v>
      </c>
      <c r="F66" s="189" t="s">
        <v>1080</v>
      </c>
      <c r="G66" s="195"/>
      <c r="H66" s="176" t="s">
        <v>612</v>
      </c>
      <c r="I66" s="196">
        <v>2</v>
      </c>
      <c r="J66" s="190" t="s">
        <v>924</v>
      </c>
      <c r="K66" s="196">
        <v>0</v>
      </c>
      <c r="L66" s="189" t="s">
        <v>301</v>
      </c>
      <c r="M66" s="194"/>
    </row>
    <row r="67" spans="1:13" ht="50.25" customHeight="1" x14ac:dyDescent="0.2">
      <c r="A67" s="37">
        <v>7</v>
      </c>
      <c r="B67" s="189"/>
      <c r="C67" s="190"/>
      <c r="D67" s="189" t="s">
        <v>942</v>
      </c>
      <c r="E67" s="196">
        <v>393</v>
      </c>
      <c r="F67" s="189" t="s">
        <v>1080</v>
      </c>
      <c r="G67" s="195"/>
      <c r="H67" s="80" t="s">
        <v>729</v>
      </c>
      <c r="I67" s="196">
        <v>2</v>
      </c>
      <c r="J67" s="190" t="s">
        <v>924</v>
      </c>
      <c r="K67" s="196">
        <v>0</v>
      </c>
      <c r="L67" s="189" t="s">
        <v>1286</v>
      </c>
      <c r="M67" s="194"/>
    </row>
    <row r="68" spans="1:13" ht="66.75" customHeight="1" x14ac:dyDescent="0.2">
      <c r="A68" s="37">
        <v>7</v>
      </c>
      <c r="B68" s="189"/>
      <c r="C68" s="190"/>
      <c r="D68" s="189" t="s">
        <v>507</v>
      </c>
      <c r="E68" s="196">
        <v>394</v>
      </c>
      <c r="F68" s="189" t="s">
        <v>1080</v>
      </c>
      <c r="G68" s="195"/>
      <c r="H68" s="176" t="s">
        <v>611</v>
      </c>
      <c r="I68" s="196">
        <v>1400000</v>
      </c>
      <c r="J68" s="190" t="s">
        <v>633</v>
      </c>
      <c r="K68" s="196">
        <v>552000</v>
      </c>
      <c r="L68" s="196">
        <v>350000</v>
      </c>
      <c r="M68" s="194"/>
    </row>
    <row r="69" spans="1:13" ht="51" x14ac:dyDescent="0.2">
      <c r="A69" s="37">
        <v>8</v>
      </c>
      <c r="B69" s="189"/>
      <c r="C69" s="190" t="s">
        <v>1159</v>
      </c>
      <c r="D69" s="189"/>
      <c r="E69" s="189"/>
      <c r="F69" s="189"/>
      <c r="G69" s="195">
        <v>295978</v>
      </c>
      <c r="H69" s="80" t="s">
        <v>1179</v>
      </c>
      <c r="I69" s="189"/>
      <c r="J69" s="190"/>
      <c r="K69" s="189"/>
      <c r="L69" s="189"/>
      <c r="M69" s="183">
        <f>+M70</f>
        <v>176727240</v>
      </c>
    </row>
    <row r="70" spans="1:13" x14ac:dyDescent="0.2">
      <c r="A70" s="37">
        <v>9</v>
      </c>
      <c r="B70" s="189"/>
      <c r="C70" s="190"/>
      <c r="D70" s="189"/>
      <c r="E70" s="189"/>
      <c r="F70" s="189"/>
      <c r="G70" s="195"/>
      <c r="H70" s="80" t="s">
        <v>835</v>
      </c>
      <c r="I70" s="189"/>
      <c r="J70" s="190"/>
      <c r="K70" s="189"/>
      <c r="L70" s="189"/>
      <c r="M70" s="183">
        <f>176727240+241000000+200000000-441000000</f>
        <v>176727240</v>
      </c>
    </row>
    <row r="71" spans="1:13" ht="25.5" x14ac:dyDescent="0.2">
      <c r="A71" s="37"/>
      <c r="B71" s="189"/>
      <c r="C71" s="190"/>
      <c r="D71" s="189"/>
      <c r="E71" s="189"/>
      <c r="F71" s="189"/>
      <c r="G71" s="195">
        <v>295978</v>
      </c>
      <c r="H71" s="80" t="s">
        <v>1544</v>
      </c>
      <c r="I71" s="189"/>
      <c r="J71" s="190"/>
      <c r="K71" s="189"/>
      <c r="L71" s="189"/>
      <c r="M71" s="183">
        <f>+M72</f>
        <v>441000000</v>
      </c>
    </row>
    <row r="72" spans="1:13" x14ac:dyDescent="0.2">
      <c r="A72" s="37"/>
      <c r="B72" s="189"/>
      <c r="C72" s="190"/>
      <c r="D72" s="189"/>
      <c r="E72" s="189"/>
      <c r="F72" s="189"/>
      <c r="G72" s="195"/>
      <c r="H72" s="80" t="s">
        <v>835</v>
      </c>
      <c r="I72" s="189"/>
      <c r="J72" s="190"/>
      <c r="K72" s="189"/>
      <c r="L72" s="189"/>
      <c r="M72" s="183">
        <v>441000000</v>
      </c>
    </row>
    <row r="73" spans="1:13" ht="25.5" x14ac:dyDescent="0.2">
      <c r="A73" s="37">
        <v>6</v>
      </c>
      <c r="B73" s="189" t="s">
        <v>955</v>
      </c>
      <c r="C73" s="190"/>
      <c r="D73" s="189"/>
      <c r="E73" s="189"/>
      <c r="F73" s="189"/>
      <c r="G73" s="195"/>
      <c r="H73" s="173" t="s">
        <v>617</v>
      </c>
      <c r="I73" s="189"/>
      <c r="J73" s="190"/>
      <c r="K73" s="189"/>
      <c r="L73" s="189"/>
      <c r="M73" s="91">
        <f>+M76</f>
        <v>100000000</v>
      </c>
    </row>
    <row r="74" spans="1:13" ht="51" x14ac:dyDescent="0.2">
      <c r="A74" s="37">
        <v>7</v>
      </c>
      <c r="B74" s="189"/>
      <c r="C74" s="190"/>
      <c r="D74" s="189" t="s">
        <v>475</v>
      </c>
      <c r="E74" s="196">
        <v>395</v>
      </c>
      <c r="F74" s="189" t="s">
        <v>1080</v>
      </c>
      <c r="G74" s="195"/>
      <c r="H74" s="80" t="s">
        <v>610</v>
      </c>
      <c r="I74" s="196">
        <v>2</v>
      </c>
      <c r="J74" s="190" t="s">
        <v>195</v>
      </c>
      <c r="K74" s="212">
        <v>0.5</v>
      </c>
      <c r="L74" s="189" t="s">
        <v>1286</v>
      </c>
      <c r="M74" s="194"/>
    </row>
    <row r="75" spans="1:13" ht="51" x14ac:dyDescent="0.2">
      <c r="A75" s="37">
        <v>7</v>
      </c>
      <c r="B75" s="189"/>
      <c r="C75" s="190"/>
      <c r="D75" s="189" t="s">
        <v>869</v>
      </c>
      <c r="E75" s="196">
        <v>396</v>
      </c>
      <c r="F75" s="189" t="s">
        <v>1080</v>
      </c>
      <c r="G75" s="195"/>
      <c r="H75" s="176" t="s">
        <v>104</v>
      </c>
      <c r="I75" s="196">
        <v>6</v>
      </c>
      <c r="J75" s="190" t="s">
        <v>402</v>
      </c>
      <c r="K75" s="196">
        <v>2</v>
      </c>
      <c r="L75" s="189" t="s">
        <v>1025</v>
      </c>
      <c r="M75" s="194"/>
    </row>
    <row r="76" spans="1:13" ht="25.5" x14ac:dyDescent="0.2">
      <c r="A76" s="37">
        <v>8</v>
      </c>
      <c r="B76" s="189"/>
      <c r="C76" s="190" t="s">
        <v>10</v>
      </c>
      <c r="D76" s="189"/>
      <c r="E76" s="189"/>
      <c r="F76" s="189"/>
      <c r="G76" s="195">
        <v>295978</v>
      </c>
      <c r="H76" s="80" t="s">
        <v>624</v>
      </c>
      <c r="I76" s="189"/>
      <c r="J76" s="190"/>
      <c r="K76" s="189"/>
      <c r="L76" s="189"/>
      <c r="M76" s="183">
        <f>+M77</f>
        <v>100000000</v>
      </c>
    </row>
    <row r="77" spans="1:13" x14ac:dyDescent="0.2">
      <c r="A77" s="37">
        <v>9</v>
      </c>
      <c r="B77" s="52"/>
      <c r="C77" s="53"/>
      <c r="D77" s="52"/>
      <c r="E77" s="153"/>
      <c r="F77" s="153"/>
      <c r="G77" s="154"/>
      <c r="H77" s="162" t="s">
        <v>835</v>
      </c>
      <c r="I77" s="153"/>
      <c r="J77" s="160"/>
      <c r="K77" s="153"/>
      <c r="L77" s="153"/>
      <c r="M77" s="166">
        <f>100000000+100000000-100000000</f>
        <v>100000000</v>
      </c>
    </row>
    <row r="78" spans="1:13" x14ac:dyDescent="0.2">
      <c r="A78" s="37"/>
      <c r="B78" s="52"/>
      <c r="C78" s="53"/>
      <c r="D78" s="52"/>
      <c r="E78" s="153"/>
      <c r="F78" s="153"/>
      <c r="G78" s="154"/>
      <c r="H78" s="162"/>
      <c r="I78" s="153"/>
      <c r="J78" s="160"/>
      <c r="K78" s="153"/>
      <c r="L78" s="153"/>
      <c r="M78" s="166"/>
    </row>
    <row r="79" spans="1:13" ht="15" x14ac:dyDescent="0.25">
      <c r="A79" s="37">
        <v>10</v>
      </c>
      <c r="B79" s="52"/>
      <c r="C79" s="53"/>
      <c r="D79" s="52"/>
      <c r="E79" s="153"/>
      <c r="F79" s="153"/>
      <c r="G79" s="154"/>
      <c r="H79" s="155" t="s">
        <v>230</v>
      </c>
      <c r="I79" s="156"/>
      <c r="J79" s="157"/>
      <c r="K79" s="156"/>
      <c r="L79" s="156"/>
      <c r="M79" s="158">
        <f>+M8+M16</f>
        <v>68874046566</v>
      </c>
    </row>
    <row r="80" spans="1:13" ht="15" x14ac:dyDescent="0.25">
      <c r="A80" s="37"/>
      <c r="B80" s="52"/>
      <c r="C80" s="53"/>
      <c r="D80" s="52"/>
      <c r="E80" s="52"/>
      <c r="F80" s="52"/>
      <c r="G80" s="61"/>
      <c r="H80" s="63"/>
      <c r="I80" s="59"/>
      <c r="J80" s="58"/>
      <c r="K80" s="59"/>
      <c r="L80" s="59"/>
      <c r="M80" s="64"/>
    </row>
  </sheetData>
  <mergeCells count="1">
    <mergeCell ref="B2:M2"/>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33"/>
  <sheetViews>
    <sheetView topLeftCell="E23" zoomScale="80" zoomScaleNormal="80" workbookViewId="0">
      <selection activeCell="N32" sqref="N32:AX32"/>
    </sheetView>
  </sheetViews>
  <sheetFormatPr baseColWidth="10" defaultColWidth="9.140625" defaultRowHeight="12.75" x14ac:dyDescent="0.2"/>
  <cols>
    <col min="1" max="1" width="13.42578125" hidden="1" customWidth="1"/>
    <col min="2" max="2" width="9.42578125" style="69" customWidth="1"/>
    <col min="3" max="3" width="15" style="70" customWidth="1"/>
    <col min="4" max="4" width="8.28515625" style="69" customWidth="1"/>
    <col min="5" max="5" width="9.140625" style="69"/>
    <col min="6" max="6" width="10.85546875" style="69" customWidth="1"/>
    <col min="7" max="7" width="8.5703125" style="69" customWidth="1"/>
    <col min="8" max="8" width="61.5703125" style="36" customWidth="1"/>
    <col min="9" max="9" width="11.7109375" style="69" customWidth="1"/>
    <col min="10" max="10" width="16.28515625" style="70" customWidth="1"/>
    <col min="11" max="11" width="16" style="69" customWidth="1"/>
    <col min="12" max="12" width="11" style="69" customWidth="1"/>
    <col min="13" max="13" width="20.28515625" style="32" customWidth="1"/>
  </cols>
  <sheetData>
    <row r="1" spans="1:131" x14ac:dyDescent="0.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row>
    <row r="2" spans="1:131" ht="24" customHeight="1" x14ac:dyDescent="0.2">
      <c r="B2" s="187" t="s">
        <v>1103</v>
      </c>
      <c r="C2" s="187"/>
      <c r="D2" s="187"/>
      <c r="E2" s="187"/>
      <c r="F2" s="187"/>
      <c r="G2" s="187"/>
      <c r="H2" s="187"/>
      <c r="I2" s="187"/>
      <c r="J2" s="187"/>
      <c r="K2" s="187"/>
      <c r="L2" s="187"/>
      <c r="M2" s="187"/>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row>
    <row r="3" spans="1:131" x14ac:dyDescent="0.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row>
    <row r="4" spans="1:131" s="7" customFormat="1" ht="38.25" customHeight="1" x14ac:dyDescent="0.2">
      <c r="A4" s="7" t="s">
        <v>641</v>
      </c>
      <c r="B4" s="71" t="s">
        <v>1100</v>
      </c>
      <c r="C4" s="71" t="s">
        <v>1092</v>
      </c>
      <c r="D4" s="35" t="s">
        <v>1091</v>
      </c>
      <c r="E4" s="71" t="s">
        <v>1097</v>
      </c>
      <c r="F4" s="147" t="s">
        <v>1098</v>
      </c>
      <c r="G4" s="147" t="s">
        <v>1093</v>
      </c>
      <c r="H4" s="148" t="s">
        <v>409</v>
      </c>
      <c r="I4" s="148" t="s">
        <v>1094</v>
      </c>
      <c r="J4" s="148" t="s">
        <v>1095</v>
      </c>
      <c r="K4" s="148" t="s">
        <v>1104</v>
      </c>
      <c r="L4" s="148" t="s">
        <v>1096</v>
      </c>
      <c r="M4" s="148"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3"/>
      <c r="DS4" s="33"/>
      <c r="DT4" s="33"/>
      <c r="DU4" s="33"/>
      <c r="DV4" s="33"/>
      <c r="DW4" s="33"/>
      <c r="DX4" s="33"/>
      <c r="DY4" s="33"/>
      <c r="DZ4" s="33"/>
      <c r="EA4" s="33"/>
    </row>
    <row r="5" spans="1:131" x14ac:dyDescent="0.2">
      <c r="F5" s="149"/>
      <c r="G5" s="149"/>
      <c r="H5" s="150"/>
      <c r="I5" s="149"/>
      <c r="J5" s="151"/>
      <c r="K5" s="149"/>
      <c r="L5" s="149"/>
      <c r="M5" s="15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1" ht="15" x14ac:dyDescent="0.25">
      <c r="A6" s="1"/>
      <c r="B6" s="52"/>
      <c r="C6" s="53"/>
      <c r="D6" s="52"/>
      <c r="E6" s="52"/>
      <c r="F6" s="153"/>
      <c r="G6" s="154"/>
      <c r="H6" s="155"/>
      <c r="I6" s="156"/>
      <c r="J6" s="157"/>
      <c r="K6" s="156"/>
      <c r="L6" s="156"/>
      <c r="M6" s="158"/>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row>
    <row r="7" spans="1:131" ht="15.75" x14ac:dyDescent="0.2">
      <c r="A7" s="1">
        <v>0</v>
      </c>
      <c r="B7" s="52"/>
      <c r="C7" s="53"/>
      <c r="D7" s="52"/>
      <c r="E7" s="52"/>
      <c r="F7" s="153"/>
      <c r="G7" s="154"/>
      <c r="H7" s="159" t="s">
        <v>149</v>
      </c>
      <c r="I7" s="153"/>
      <c r="J7" s="160"/>
      <c r="K7" s="153"/>
      <c r="L7" s="153"/>
      <c r="M7" s="161"/>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row>
    <row r="8" spans="1:131" ht="15.75" x14ac:dyDescent="0.2">
      <c r="A8" s="1">
        <v>1</v>
      </c>
      <c r="B8" s="52"/>
      <c r="C8" s="53"/>
      <c r="D8" s="52"/>
      <c r="E8" s="52"/>
      <c r="F8" s="153"/>
      <c r="G8" s="154"/>
      <c r="H8" s="159" t="s">
        <v>794</v>
      </c>
      <c r="I8" s="153"/>
      <c r="J8" s="160"/>
      <c r="K8" s="153"/>
      <c r="L8" s="153"/>
      <c r="M8" s="161"/>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row>
    <row r="9" spans="1:131" x14ac:dyDescent="0.2">
      <c r="A9" s="1">
        <v>2</v>
      </c>
      <c r="B9" s="52"/>
      <c r="C9" s="53"/>
      <c r="D9" s="52"/>
      <c r="E9" s="52"/>
      <c r="F9" s="153"/>
      <c r="G9" s="154"/>
      <c r="H9" s="162"/>
      <c r="I9" s="153"/>
      <c r="J9" s="160"/>
      <c r="K9" s="153"/>
      <c r="L9" s="153"/>
      <c r="M9" s="161"/>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row>
    <row r="10" spans="1:131" ht="25.5" x14ac:dyDescent="0.2">
      <c r="A10" s="1">
        <v>3</v>
      </c>
      <c r="B10" s="52" t="s">
        <v>422</v>
      </c>
      <c r="C10" s="53"/>
      <c r="D10" s="52"/>
      <c r="E10" s="52"/>
      <c r="F10" s="153"/>
      <c r="G10" s="154"/>
      <c r="H10" s="163" t="s">
        <v>381</v>
      </c>
      <c r="I10" s="153"/>
      <c r="J10" s="160"/>
      <c r="K10" s="153"/>
      <c r="L10" s="153"/>
      <c r="M10" s="164">
        <f>+M11</f>
        <v>2414704000</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row>
    <row r="11" spans="1:131" ht="25.5" x14ac:dyDescent="0.2">
      <c r="A11" s="1">
        <v>4</v>
      </c>
      <c r="B11" s="52" t="s">
        <v>955</v>
      </c>
      <c r="C11" s="53"/>
      <c r="D11" s="52"/>
      <c r="E11" s="52"/>
      <c r="F11" s="153"/>
      <c r="G11" s="154"/>
      <c r="H11" s="163" t="s">
        <v>990</v>
      </c>
      <c r="I11" s="153"/>
      <c r="J11" s="160"/>
      <c r="K11" s="153"/>
      <c r="L11" s="153"/>
      <c r="M11" s="164">
        <f>+M15+M23</f>
        <v>2414704000</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row>
    <row r="12" spans="1:131" ht="51" x14ac:dyDescent="0.2">
      <c r="A12" s="1">
        <v>5</v>
      </c>
      <c r="B12" s="52"/>
      <c r="C12" s="53"/>
      <c r="D12" s="52"/>
      <c r="E12" s="55">
        <v>441</v>
      </c>
      <c r="F12" s="153" t="s">
        <v>268</v>
      </c>
      <c r="G12" s="154"/>
      <c r="H12" s="167" t="s">
        <v>317</v>
      </c>
      <c r="I12" s="165">
        <v>200</v>
      </c>
      <c r="J12" s="160" t="s">
        <v>561</v>
      </c>
      <c r="K12" s="165">
        <v>74</v>
      </c>
      <c r="L12" s="153" t="s">
        <v>1227</v>
      </c>
      <c r="M12" s="161"/>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row>
    <row r="13" spans="1:131" ht="38.25" x14ac:dyDescent="0.2">
      <c r="A13" s="1">
        <v>5</v>
      </c>
      <c r="B13" s="52"/>
      <c r="C13" s="53"/>
      <c r="D13" s="52"/>
      <c r="E13" s="55">
        <v>442</v>
      </c>
      <c r="F13" s="153" t="s">
        <v>268</v>
      </c>
      <c r="G13" s="154"/>
      <c r="H13" s="162" t="s">
        <v>989</v>
      </c>
      <c r="I13" s="165">
        <v>12000</v>
      </c>
      <c r="J13" s="160" t="s">
        <v>524</v>
      </c>
      <c r="K13" s="165">
        <v>4500</v>
      </c>
      <c r="L13" s="165">
        <v>3000</v>
      </c>
      <c r="M13" s="161"/>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row>
    <row r="14" spans="1:131" ht="63.75" x14ac:dyDescent="0.2">
      <c r="A14" s="1">
        <v>5</v>
      </c>
      <c r="B14" s="52"/>
      <c r="C14" s="53"/>
      <c r="D14" s="52"/>
      <c r="E14" s="55">
        <v>440</v>
      </c>
      <c r="F14" s="153" t="s">
        <v>268</v>
      </c>
      <c r="G14" s="154"/>
      <c r="H14" s="162" t="s">
        <v>1076</v>
      </c>
      <c r="I14" s="165">
        <v>38</v>
      </c>
      <c r="J14" s="160" t="s">
        <v>754</v>
      </c>
      <c r="K14" s="165">
        <v>7</v>
      </c>
      <c r="L14" s="165">
        <v>10</v>
      </c>
      <c r="M14" s="161"/>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row>
    <row r="15" spans="1:131" x14ac:dyDescent="0.2">
      <c r="A15" s="1">
        <v>6</v>
      </c>
      <c r="B15" s="52" t="s">
        <v>857</v>
      </c>
      <c r="C15" s="53"/>
      <c r="D15" s="52"/>
      <c r="E15" s="52"/>
      <c r="F15" s="153"/>
      <c r="G15" s="154"/>
      <c r="H15" s="163" t="s">
        <v>1023</v>
      </c>
      <c r="I15" s="153"/>
      <c r="J15" s="160"/>
      <c r="K15" s="153"/>
      <c r="L15" s="153"/>
      <c r="M15" s="164">
        <f>+M21</f>
        <v>900000000</v>
      </c>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row>
    <row r="16" spans="1:131" ht="51" x14ac:dyDescent="0.2">
      <c r="A16" s="1"/>
      <c r="B16" s="52"/>
      <c r="C16" s="53"/>
      <c r="D16" s="52" t="s">
        <v>297</v>
      </c>
      <c r="E16" s="55">
        <v>443</v>
      </c>
      <c r="F16" s="153" t="s">
        <v>1080</v>
      </c>
      <c r="G16" s="154"/>
      <c r="H16" s="162" t="s">
        <v>482</v>
      </c>
      <c r="I16" s="165">
        <v>9</v>
      </c>
      <c r="J16" s="160" t="s">
        <v>508</v>
      </c>
      <c r="K16" s="165">
        <v>4</v>
      </c>
      <c r="L16" s="153" t="s">
        <v>422</v>
      </c>
      <c r="M16" s="164"/>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row>
    <row r="17" spans="1:131" ht="25.5" x14ac:dyDescent="0.2">
      <c r="A17" s="1"/>
      <c r="B17" s="52"/>
      <c r="C17" s="53"/>
      <c r="D17" s="52" t="s">
        <v>326</v>
      </c>
      <c r="E17" s="55">
        <v>444</v>
      </c>
      <c r="F17" s="153" t="s">
        <v>1080</v>
      </c>
      <c r="G17" s="154"/>
      <c r="H17" s="162" t="s">
        <v>161</v>
      </c>
      <c r="I17" s="165">
        <v>300</v>
      </c>
      <c r="J17" s="160" t="s">
        <v>940</v>
      </c>
      <c r="K17" s="165">
        <v>289</v>
      </c>
      <c r="L17" s="153" t="s">
        <v>1165</v>
      </c>
      <c r="M17" s="164"/>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row>
    <row r="18" spans="1:131" ht="25.5" x14ac:dyDescent="0.2">
      <c r="A18" s="1"/>
      <c r="B18" s="52"/>
      <c r="C18" s="53"/>
      <c r="D18" s="52"/>
      <c r="E18" s="55">
        <v>445</v>
      </c>
      <c r="F18" s="153" t="s">
        <v>1080</v>
      </c>
      <c r="G18" s="154"/>
      <c r="H18" s="162" t="s">
        <v>1287</v>
      </c>
      <c r="I18" s="165">
        <v>4</v>
      </c>
      <c r="J18" s="160" t="s">
        <v>449</v>
      </c>
      <c r="K18" s="165">
        <v>2</v>
      </c>
      <c r="L18" s="153" t="s">
        <v>301</v>
      </c>
      <c r="M18" s="164"/>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row>
    <row r="19" spans="1:131" ht="25.5" x14ac:dyDescent="0.2">
      <c r="A19" s="1">
        <v>7</v>
      </c>
      <c r="B19" s="52"/>
      <c r="C19" s="53"/>
      <c r="D19" s="52" t="s">
        <v>984</v>
      </c>
      <c r="E19" s="55">
        <v>446</v>
      </c>
      <c r="F19" s="153" t="s">
        <v>1080</v>
      </c>
      <c r="G19" s="154"/>
      <c r="H19" s="162" t="s">
        <v>941</v>
      </c>
      <c r="I19" s="165">
        <v>2</v>
      </c>
      <c r="J19" s="160" t="s">
        <v>348</v>
      </c>
      <c r="K19" s="165">
        <v>0</v>
      </c>
      <c r="L19" s="153" t="s">
        <v>301</v>
      </c>
      <c r="M19" s="161"/>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row>
    <row r="20" spans="1:131" x14ac:dyDescent="0.2">
      <c r="A20" s="1"/>
      <c r="B20" s="52"/>
      <c r="C20" s="53"/>
      <c r="F20" s="149"/>
      <c r="G20" s="149"/>
      <c r="H20" s="150"/>
      <c r="I20" s="149"/>
      <c r="J20" s="151"/>
      <c r="K20" s="149"/>
      <c r="L20" s="149"/>
      <c r="M20" s="161"/>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row>
    <row r="21" spans="1:131" ht="28.15" customHeight="1" x14ac:dyDescent="0.2">
      <c r="A21" s="1">
        <v>8</v>
      </c>
      <c r="B21" s="52"/>
      <c r="C21" s="53" t="s">
        <v>10</v>
      </c>
      <c r="D21" s="52"/>
      <c r="E21" s="52"/>
      <c r="F21" s="153"/>
      <c r="G21" s="101">
        <v>295935</v>
      </c>
      <c r="H21" s="162" t="s">
        <v>245</v>
      </c>
      <c r="I21" s="153"/>
      <c r="J21" s="160"/>
      <c r="K21" s="153"/>
      <c r="L21" s="153"/>
      <c r="M21" s="166">
        <f>+M22</f>
        <v>900000000</v>
      </c>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row>
    <row r="22" spans="1:131" x14ac:dyDescent="0.2">
      <c r="A22" s="1">
        <v>9</v>
      </c>
      <c r="B22" s="52"/>
      <c r="C22" s="53"/>
      <c r="D22" s="52"/>
      <c r="E22" s="52"/>
      <c r="F22" s="153"/>
      <c r="G22" s="101"/>
      <c r="H22" s="162" t="s">
        <v>835</v>
      </c>
      <c r="I22" s="153"/>
      <c r="J22" s="160"/>
      <c r="K22" s="153"/>
      <c r="L22" s="153"/>
      <c r="M22" s="166">
        <f>80000000+300000000+1000000000-480000000</f>
        <v>900000000</v>
      </c>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row>
    <row r="23" spans="1:131" ht="25.5" x14ac:dyDescent="0.2">
      <c r="A23" s="1">
        <v>6</v>
      </c>
      <c r="B23" s="52" t="s">
        <v>497</v>
      </c>
      <c r="C23" s="53"/>
      <c r="D23" s="52"/>
      <c r="E23" s="52"/>
      <c r="F23" s="153"/>
      <c r="G23" s="101"/>
      <c r="H23" s="163" t="s">
        <v>120</v>
      </c>
      <c r="I23" s="153"/>
      <c r="J23" s="160"/>
      <c r="K23" s="153"/>
      <c r="L23" s="153"/>
      <c r="M23" s="164">
        <f>+M27+M29</f>
        <v>1514704000</v>
      </c>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row>
    <row r="24" spans="1:131" ht="38.25" x14ac:dyDescent="0.2">
      <c r="A24" s="1"/>
      <c r="B24" s="52"/>
      <c r="C24" s="53"/>
      <c r="D24" s="52" t="s">
        <v>89</v>
      </c>
      <c r="E24" s="55">
        <v>447</v>
      </c>
      <c r="F24" s="153" t="s">
        <v>1080</v>
      </c>
      <c r="G24" s="101"/>
      <c r="H24" s="162" t="s">
        <v>808</v>
      </c>
      <c r="I24" s="165">
        <v>20</v>
      </c>
      <c r="J24" s="160" t="s">
        <v>286</v>
      </c>
      <c r="K24" s="165">
        <v>5</v>
      </c>
      <c r="L24" s="153" t="s">
        <v>1180</v>
      </c>
      <c r="M24" s="164"/>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row>
    <row r="25" spans="1:131" ht="25.5" x14ac:dyDescent="0.2">
      <c r="A25" s="1">
        <v>7</v>
      </c>
      <c r="B25" s="52"/>
      <c r="C25" s="53"/>
      <c r="D25" s="52" t="s">
        <v>549</v>
      </c>
      <c r="E25" s="55">
        <v>448</v>
      </c>
      <c r="F25" s="153" t="s">
        <v>1080</v>
      </c>
      <c r="G25" s="101"/>
      <c r="H25" s="162" t="s">
        <v>140</v>
      </c>
      <c r="I25" s="165">
        <v>200</v>
      </c>
      <c r="J25" s="160" t="s">
        <v>1048</v>
      </c>
      <c r="K25" s="165">
        <v>74</v>
      </c>
      <c r="L25" s="153" t="s">
        <v>1227</v>
      </c>
      <c r="M25" s="161"/>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row>
    <row r="26" spans="1:131" x14ac:dyDescent="0.2">
      <c r="A26" s="1">
        <v>7</v>
      </c>
      <c r="B26" s="52"/>
      <c r="C26" s="53"/>
      <c r="F26" s="149"/>
      <c r="G26" s="209"/>
      <c r="H26" s="150"/>
      <c r="I26" s="149"/>
      <c r="J26" s="151"/>
      <c r="K26" s="149"/>
      <c r="L26" s="149"/>
      <c r="M26" s="161"/>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row>
    <row r="27" spans="1:131" ht="51" x14ac:dyDescent="0.2">
      <c r="A27" s="1">
        <v>8</v>
      </c>
      <c r="B27" s="52"/>
      <c r="C27" s="53" t="s">
        <v>10</v>
      </c>
      <c r="D27" s="52"/>
      <c r="E27" s="52"/>
      <c r="F27" s="153"/>
      <c r="G27" s="101">
        <v>295934</v>
      </c>
      <c r="H27" s="162" t="s">
        <v>394</v>
      </c>
      <c r="I27" s="153"/>
      <c r="J27" s="160"/>
      <c r="K27" s="153"/>
      <c r="L27" s="153"/>
      <c r="M27" s="166">
        <f>+M28</f>
        <v>514704000</v>
      </c>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row>
    <row r="28" spans="1:131" x14ac:dyDescent="0.2">
      <c r="A28" s="1">
        <v>9</v>
      </c>
      <c r="B28" s="52"/>
      <c r="C28" s="53"/>
      <c r="D28" s="52"/>
      <c r="E28" s="52"/>
      <c r="F28" s="153"/>
      <c r="G28" s="101"/>
      <c r="H28" s="162" t="s">
        <v>713</v>
      </c>
      <c r="I28" s="153"/>
      <c r="J28" s="160"/>
      <c r="K28" s="153"/>
      <c r="L28" s="153"/>
      <c r="M28" s="166">
        <v>514704000</v>
      </c>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row>
    <row r="29" spans="1:131" ht="38.25" x14ac:dyDescent="0.2">
      <c r="A29" s="1">
        <v>8</v>
      </c>
      <c r="B29" s="52"/>
      <c r="C29" s="53" t="s">
        <v>10</v>
      </c>
      <c r="D29" s="52"/>
      <c r="E29" s="52"/>
      <c r="F29" s="153"/>
      <c r="G29" s="101">
        <v>296078</v>
      </c>
      <c r="H29" s="162" t="s">
        <v>953</v>
      </c>
      <c r="I29" s="153"/>
      <c r="J29" s="160"/>
      <c r="K29" s="153"/>
      <c r="L29" s="153"/>
      <c r="M29" s="166">
        <f>+M30</f>
        <v>1000000000</v>
      </c>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row>
    <row r="30" spans="1:131" x14ac:dyDescent="0.2">
      <c r="A30" s="1">
        <v>9</v>
      </c>
      <c r="B30" s="52"/>
      <c r="C30" s="53"/>
      <c r="D30" s="52"/>
      <c r="E30" s="52"/>
      <c r="F30" s="153"/>
      <c r="G30" s="101"/>
      <c r="H30" s="162" t="s">
        <v>835</v>
      </c>
      <c r="I30" s="153"/>
      <c r="J30" s="160"/>
      <c r="K30" s="153"/>
      <c r="L30" s="153"/>
      <c r="M30" s="166">
        <f>1500000000-500000000</f>
        <v>1000000000</v>
      </c>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row>
    <row r="31" spans="1:131" x14ac:dyDescent="0.2">
      <c r="A31" s="1"/>
      <c r="B31" s="52"/>
      <c r="C31" s="53"/>
      <c r="D31" s="52"/>
      <c r="E31" s="52"/>
      <c r="F31" s="153"/>
      <c r="G31" s="101"/>
      <c r="H31" s="162"/>
      <c r="I31" s="153"/>
      <c r="J31" s="160"/>
      <c r="K31" s="153"/>
      <c r="L31" s="153"/>
      <c r="M31" s="166"/>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row>
    <row r="32" spans="1:131" ht="15" x14ac:dyDescent="0.25">
      <c r="A32" s="1">
        <v>10</v>
      </c>
      <c r="B32" s="52"/>
      <c r="C32" s="53"/>
      <c r="D32" s="52"/>
      <c r="E32" s="52"/>
      <c r="F32" s="153"/>
      <c r="G32" s="101"/>
      <c r="H32" s="155" t="s">
        <v>958</v>
      </c>
      <c r="I32" s="156"/>
      <c r="J32" s="157"/>
      <c r="K32" s="156"/>
      <c r="L32" s="156"/>
      <c r="M32" s="158">
        <f>+M10</f>
        <v>2414704000</v>
      </c>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row>
    <row r="33" spans="1:131" x14ac:dyDescent="0.2">
      <c r="A33" s="1"/>
      <c r="B33" s="52"/>
      <c r="C33" s="53"/>
      <c r="D33" s="52"/>
      <c r="E33" s="52"/>
      <c r="F33" s="52"/>
      <c r="G33" s="61"/>
      <c r="H33" s="42"/>
      <c r="I33" s="52"/>
      <c r="J33" s="53"/>
      <c r="K33" s="52"/>
      <c r="L33" s="52"/>
      <c r="M33" s="37"/>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row>
  </sheetData>
  <mergeCells count="1">
    <mergeCell ref="B2:M2"/>
  </mergeCell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44"/>
  <sheetViews>
    <sheetView topLeftCell="E35" zoomScale="80" zoomScaleNormal="80" workbookViewId="0">
      <selection activeCell="N44" sqref="N44:AX44"/>
    </sheetView>
  </sheetViews>
  <sheetFormatPr baseColWidth="10" defaultColWidth="9.140625" defaultRowHeight="12.75" x14ac:dyDescent="0.2"/>
  <cols>
    <col min="1" max="1" width="13.42578125" style="32" hidden="1" customWidth="1"/>
    <col min="2" max="2" width="9.42578125" style="69" customWidth="1"/>
    <col min="3" max="3" width="16.5703125" style="70" customWidth="1"/>
    <col min="4" max="4" width="8.28515625" style="69" customWidth="1"/>
    <col min="5" max="5" width="9.140625" style="69"/>
    <col min="6" max="6" width="10.42578125" style="69" customWidth="1"/>
    <col min="7" max="7" width="8.5703125" style="69" customWidth="1"/>
    <col min="8" max="8" width="62.5703125"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1" spans="1:118" x14ac:dyDescent="0.2">
      <c r="B1" s="192"/>
      <c r="C1" s="193"/>
      <c r="D1" s="192"/>
      <c r="E1" s="192"/>
      <c r="F1" s="192"/>
      <c r="G1" s="192"/>
      <c r="H1" s="170"/>
      <c r="I1" s="192"/>
      <c r="J1" s="193"/>
      <c r="K1" s="192"/>
      <c r="L1" s="192"/>
      <c r="M1" s="175"/>
    </row>
    <row r="2" spans="1:118" ht="24" customHeight="1" x14ac:dyDescent="0.2">
      <c r="B2" s="210" t="s">
        <v>1103</v>
      </c>
      <c r="C2" s="210"/>
      <c r="D2" s="210"/>
      <c r="E2" s="210"/>
      <c r="F2" s="210"/>
      <c r="G2" s="210"/>
      <c r="H2" s="210"/>
      <c r="I2" s="210"/>
      <c r="J2" s="210"/>
      <c r="K2" s="210"/>
      <c r="L2" s="210"/>
      <c r="M2" s="210"/>
    </row>
    <row r="3" spans="1:118" x14ac:dyDescent="0.2">
      <c r="B3" s="192"/>
      <c r="C3" s="193"/>
      <c r="D3" s="192"/>
      <c r="E3" s="192"/>
      <c r="F3" s="192"/>
      <c r="G3" s="192"/>
      <c r="H3" s="170"/>
      <c r="I3" s="192"/>
      <c r="J3" s="193"/>
      <c r="K3" s="192"/>
      <c r="L3" s="192"/>
      <c r="M3" s="175"/>
    </row>
    <row r="4" spans="1:118" s="33" customFormat="1" ht="57.75" customHeight="1" x14ac:dyDescent="0.2">
      <c r="A4" s="33" t="s">
        <v>641</v>
      </c>
      <c r="B4" s="171" t="s">
        <v>1100</v>
      </c>
      <c r="C4" s="171" t="s">
        <v>1092</v>
      </c>
      <c r="D4" s="205" t="s">
        <v>1091</v>
      </c>
      <c r="E4" s="171" t="s">
        <v>1097</v>
      </c>
      <c r="F4" s="205" t="s">
        <v>1098</v>
      </c>
      <c r="G4" s="205" t="s">
        <v>1093</v>
      </c>
      <c r="H4" s="171" t="s">
        <v>409</v>
      </c>
      <c r="I4" s="171" t="s">
        <v>1094</v>
      </c>
      <c r="J4" s="171" t="s">
        <v>1095</v>
      </c>
      <c r="K4" s="171" t="s">
        <v>1104</v>
      </c>
      <c r="L4" s="171" t="s">
        <v>1096</v>
      </c>
      <c r="M4" s="1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row>
    <row r="5" spans="1:118" x14ac:dyDescent="0.2">
      <c r="A5" s="37"/>
      <c r="B5" s="189"/>
      <c r="C5" s="190"/>
      <c r="D5" s="189"/>
      <c r="E5" s="189"/>
      <c r="F5" s="189"/>
      <c r="G5" s="195"/>
      <c r="H5" s="80"/>
      <c r="I5" s="189"/>
      <c r="J5" s="190"/>
      <c r="K5" s="189"/>
      <c r="L5" s="189"/>
      <c r="M5" s="183"/>
    </row>
    <row r="6" spans="1:118" ht="15.75" x14ac:dyDescent="0.2">
      <c r="A6" s="37">
        <v>0</v>
      </c>
      <c r="B6" s="189"/>
      <c r="C6" s="190"/>
      <c r="D6" s="189"/>
      <c r="E6" s="189"/>
      <c r="F6" s="189"/>
      <c r="G6" s="195"/>
      <c r="H6" s="172" t="s">
        <v>744</v>
      </c>
      <c r="I6" s="189"/>
      <c r="J6" s="190"/>
      <c r="K6" s="189"/>
      <c r="L6" s="189"/>
      <c r="M6" s="194"/>
    </row>
    <row r="7" spans="1:118" ht="15.75" x14ac:dyDescent="0.2">
      <c r="A7" s="37">
        <v>1</v>
      </c>
      <c r="B7" s="189"/>
      <c r="C7" s="190"/>
      <c r="D7" s="189"/>
      <c r="E7" s="189"/>
      <c r="F7" s="189"/>
      <c r="G7" s="195"/>
      <c r="H7" s="172" t="s">
        <v>552</v>
      </c>
      <c r="I7" s="189"/>
      <c r="J7" s="190"/>
      <c r="K7" s="189"/>
      <c r="L7" s="189"/>
      <c r="M7" s="194"/>
    </row>
    <row r="8" spans="1:118" x14ac:dyDescent="0.2">
      <c r="A8" s="37">
        <v>2</v>
      </c>
      <c r="B8" s="189"/>
      <c r="C8" s="190"/>
      <c r="D8" s="189"/>
      <c r="E8" s="189"/>
      <c r="F8" s="189"/>
      <c r="G8" s="195"/>
      <c r="H8" s="80"/>
      <c r="I8" s="189"/>
      <c r="J8" s="190"/>
      <c r="K8" s="189"/>
      <c r="L8" s="189"/>
      <c r="M8" s="194"/>
    </row>
    <row r="9" spans="1:118" ht="25.5" x14ac:dyDescent="0.2">
      <c r="A9" s="37">
        <v>3</v>
      </c>
      <c r="B9" s="189" t="s">
        <v>422</v>
      </c>
      <c r="C9" s="190"/>
      <c r="D9" s="189"/>
      <c r="E9" s="189"/>
      <c r="F9" s="189"/>
      <c r="G9" s="195"/>
      <c r="H9" s="173" t="s">
        <v>381</v>
      </c>
      <c r="I9" s="189"/>
      <c r="J9" s="190"/>
      <c r="K9" s="189"/>
      <c r="L9" s="189"/>
      <c r="M9" s="91">
        <f>+M10+M24</f>
        <v>6916108000</v>
      </c>
    </row>
    <row r="10" spans="1:118" ht="25.5" x14ac:dyDescent="0.2">
      <c r="A10" s="37">
        <v>4</v>
      </c>
      <c r="B10" s="189" t="s">
        <v>285</v>
      </c>
      <c r="C10" s="190"/>
      <c r="D10" s="189"/>
      <c r="E10" s="189"/>
      <c r="F10" s="189"/>
      <c r="G10" s="195"/>
      <c r="H10" s="173" t="s">
        <v>217</v>
      </c>
      <c r="I10" s="189"/>
      <c r="J10" s="190"/>
      <c r="K10" s="189"/>
      <c r="L10" s="189"/>
      <c r="M10" s="91">
        <f>+M12</f>
        <v>4571108000</v>
      </c>
    </row>
    <row r="11" spans="1:118" ht="38.25" x14ac:dyDescent="0.2">
      <c r="A11" s="37">
        <v>5</v>
      </c>
      <c r="B11" s="189"/>
      <c r="C11" s="190"/>
      <c r="D11" s="189"/>
      <c r="E11" s="196">
        <v>449</v>
      </c>
      <c r="F11" s="189" t="s">
        <v>268</v>
      </c>
      <c r="G11" s="195"/>
      <c r="H11" s="80" t="s">
        <v>863</v>
      </c>
      <c r="I11" s="196">
        <v>20</v>
      </c>
      <c r="J11" s="190" t="s">
        <v>440</v>
      </c>
      <c r="K11" s="196">
        <v>0</v>
      </c>
      <c r="L11" s="189" t="s">
        <v>1180</v>
      </c>
      <c r="M11" s="194"/>
    </row>
    <row r="12" spans="1:118" x14ac:dyDescent="0.2">
      <c r="A12" s="37">
        <v>6</v>
      </c>
      <c r="B12" s="189" t="s">
        <v>497</v>
      </c>
      <c r="C12" s="190"/>
      <c r="D12" s="189"/>
      <c r="E12" s="189"/>
      <c r="F12" s="189"/>
      <c r="G12" s="195"/>
      <c r="H12" s="173" t="s">
        <v>819</v>
      </c>
      <c r="I12" s="189"/>
      <c r="J12" s="190"/>
      <c r="K12" s="189"/>
      <c r="L12" s="189"/>
      <c r="M12" s="91">
        <f>+M18+M22</f>
        <v>4571108000</v>
      </c>
    </row>
    <row r="13" spans="1:118" ht="25.5" x14ac:dyDescent="0.2">
      <c r="A13" s="37"/>
      <c r="B13" s="189"/>
      <c r="C13" s="190"/>
      <c r="D13" s="189" t="s">
        <v>98</v>
      </c>
      <c r="E13" s="196">
        <v>462</v>
      </c>
      <c r="F13" s="189" t="s">
        <v>1080</v>
      </c>
      <c r="G13" s="195"/>
      <c r="H13" s="80" t="s">
        <v>390</v>
      </c>
      <c r="I13" s="196">
        <v>400</v>
      </c>
      <c r="J13" s="190" t="s">
        <v>443</v>
      </c>
      <c r="K13" s="196" t="s">
        <v>1289</v>
      </c>
      <c r="L13" s="189" t="s">
        <v>1183</v>
      </c>
      <c r="M13" s="91"/>
    </row>
    <row r="14" spans="1:118" ht="25.5" x14ac:dyDescent="0.2">
      <c r="A14" s="37"/>
      <c r="B14" s="189"/>
      <c r="C14" s="190"/>
      <c r="D14" s="189" t="s">
        <v>98</v>
      </c>
      <c r="E14" s="196">
        <v>463</v>
      </c>
      <c r="F14" s="189" t="s">
        <v>1080</v>
      </c>
      <c r="G14" s="195"/>
      <c r="H14" s="80" t="s">
        <v>1135</v>
      </c>
      <c r="I14" s="196">
        <v>369</v>
      </c>
      <c r="J14" s="190" t="s">
        <v>50</v>
      </c>
      <c r="K14" s="196">
        <v>87</v>
      </c>
      <c r="L14" s="189" t="s">
        <v>1181</v>
      </c>
      <c r="M14" s="91"/>
    </row>
    <row r="15" spans="1:118" ht="25.5" x14ac:dyDescent="0.2">
      <c r="A15" s="37"/>
      <c r="B15" s="189"/>
      <c r="C15" s="190"/>
      <c r="D15" s="189" t="s">
        <v>98</v>
      </c>
      <c r="E15" s="196">
        <v>464</v>
      </c>
      <c r="F15" s="189" t="s">
        <v>1080</v>
      </c>
      <c r="G15" s="195"/>
      <c r="H15" s="80" t="s">
        <v>31</v>
      </c>
      <c r="I15" s="196">
        <v>1</v>
      </c>
      <c r="J15" s="190" t="s">
        <v>358</v>
      </c>
      <c r="K15" s="189" t="s">
        <v>1288</v>
      </c>
      <c r="L15" s="189" t="s">
        <v>1182</v>
      </c>
      <c r="M15" s="91"/>
    </row>
    <row r="16" spans="1:118" ht="38.25" x14ac:dyDescent="0.2">
      <c r="A16" s="37">
        <v>7</v>
      </c>
      <c r="B16" s="189"/>
      <c r="C16" s="190"/>
      <c r="D16" s="189" t="s">
        <v>98</v>
      </c>
      <c r="E16" s="196">
        <v>465</v>
      </c>
      <c r="F16" s="189" t="s">
        <v>1080</v>
      </c>
      <c r="G16" s="195"/>
      <c r="H16" s="80" t="s">
        <v>1016</v>
      </c>
      <c r="I16" s="196">
        <v>1</v>
      </c>
      <c r="J16" s="190" t="s">
        <v>358</v>
      </c>
      <c r="K16" s="189" t="s">
        <v>1288</v>
      </c>
      <c r="L16" s="189" t="s">
        <v>1254</v>
      </c>
      <c r="M16" s="194"/>
    </row>
    <row r="17" spans="1:13" x14ac:dyDescent="0.2">
      <c r="A17" s="37">
        <v>7</v>
      </c>
      <c r="B17" s="189"/>
      <c r="C17" s="190"/>
      <c r="D17" s="175"/>
      <c r="E17" s="175"/>
      <c r="F17" s="175"/>
      <c r="G17" s="175"/>
      <c r="H17" s="175"/>
      <c r="I17" s="175"/>
      <c r="J17" s="175"/>
      <c r="K17" s="175"/>
      <c r="L17" s="175"/>
      <c r="M17" s="194"/>
    </row>
    <row r="18" spans="1:13" ht="63.75" x14ac:dyDescent="0.2">
      <c r="A18" s="37">
        <v>8</v>
      </c>
      <c r="B18" s="189"/>
      <c r="C18" s="190" t="s">
        <v>1184</v>
      </c>
      <c r="D18" s="189"/>
      <c r="E18" s="189"/>
      <c r="F18" s="189"/>
      <c r="G18" s="195">
        <v>296086</v>
      </c>
      <c r="H18" s="80" t="s">
        <v>1185</v>
      </c>
      <c r="I18" s="189"/>
      <c r="J18" s="190"/>
      <c r="K18" s="189"/>
      <c r="L18" s="189"/>
      <c r="M18" s="183">
        <f>+M19+M20+M21</f>
        <v>3271108000</v>
      </c>
    </row>
    <row r="19" spans="1:13" x14ac:dyDescent="0.2">
      <c r="A19" s="37">
        <v>9</v>
      </c>
      <c r="B19" s="189"/>
      <c r="C19" s="190"/>
      <c r="D19" s="189"/>
      <c r="E19" s="189"/>
      <c r="F19" s="189"/>
      <c r="G19" s="195"/>
      <c r="H19" s="80" t="s">
        <v>1110</v>
      </c>
      <c r="I19" s="189"/>
      <c r="J19" s="190"/>
      <c r="K19" s="189"/>
      <c r="L19" s="189"/>
      <c r="M19" s="183">
        <v>7957000</v>
      </c>
    </row>
    <row r="20" spans="1:13" x14ac:dyDescent="0.2">
      <c r="A20" s="37">
        <v>9</v>
      </c>
      <c r="B20" s="189"/>
      <c r="C20" s="190"/>
      <c r="D20" s="189"/>
      <c r="E20" s="189"/>
      <c r="F20" s="189"/>
      <c r="G20" s="195"/>
      <c r="H20" s="80" t="s">
        <v>523</v>
      </c>
      <c r="I20" s="189"/>
      <c r="J20" s="190"/>
      <c r="K20" s="189"/>
      <c r="L20" s="189"/>
      <c r="M20" s="183">
        <f>3263151000-1300000000</f>
        <v>1963151000</v>
      </c>
    </row>
    <row r="21" spans="1:13" x14ac:dyDescent="0.2">
      <c r="A21" s="37"/>
      <c r="B21" s="189"/>
      <c r="C21" s="190"/>
      <c r="D21" s="189"/>
      <c r="E21" s="189"/>
      <c r="F21" s="189"/>
      <c r="G21" s="195"/>
      <c r="H21" s="80" t="s">
        <v>1157</v>
      </c>
      <c r="I21" s="189"/>
      <c r="J21" s="190"/>
      <c r="K21" s="189"/>
      <c r="L21" s="189"/>
      <c r="M21" s="183">
        <v>1300000000</v>
      </c>
    </row>
    <row r="22" spans="1:13" ht="25.5" x14ac:dyDescent="0.2">
      <c r="A22" s="37"/>
      <c r="B22" s="189"/>
      <c r="C22" s="190"/>
      <c r="D22" s="189"/>
      <c r="E22" s="189"/>
      <c r="F22" s="189"/>
      <c r="G22" s="195">
        <v>296086</v>
      </c>
      <c r="H22" s="80" t="s">
        <v>1545</v>
      </c>
      <c r="I22" s="189"/>
      <c r="J22" s="190"/>
      <c r="K22" s="189"/>
      <c r="L22" s="189"/>
      <c r="M22" s="183">
        <f>+M23</f>
        <v>1300000000</v>
      </c>
    </row>
    <row r="23" spans="1:13" x14ac:dyDescent="0.2">
      <c r="A23" s="37"/>
      <c r="B23" s="189"/>
      <c r="C23" s="190"/>
      <c r="D23" s="189"/>
      <c r="E23" s="189"/>
      <c r="F23" s="189"/>
      <c r="G23" s="195"/>
      <c r="H23" s="80" t="s">
        <v>1157</v>
      </c>
      <c r="I23" s="189"/>
      <c r="J23" s="190"/>
      <c r="K23" s="189"/>
      <c r="L23" s="189"/>
      <c r="M23" s="183">
        <v>1300000000</v>
      </c>
    </row>
    <row r="24" spans="1:13" x14ac:dyDescent="0.2">
      <c r="A24" s="37">
        <v>4</v>
      </c>
      <c r="B24" s="189" t="s">
        <v>1069</v>
      </c>
      <c r="C24" s="190"/>
      <c r="D24" s="189"/>
      <c r="E24" s="189"/>
      <c r="F24" s="189"/>
      <c r="G24" s="195"/>
      <c r="H24" s="173" t="s">
        <v>779</v>
      </c>
      <c r="I24" s="189"/>
      <c r="J24" s="190"/>
      <c r="K24" s="189"/>
      <c r="L24" s="189"/>
      <c r="M24" s="91">
        <f>+M26</f>
        <v>2345000000</v>
      </c>
    </row>
    <row r="25" spans="1:13" ht="32.25" customHeight="1" x14ac:dyDescent="0.2">
      <c r="A25" s="37">
        <v>5</v>
      </c>
      <c r="B25" s="189"/>
      <c r="C25" s="190"/>
      <c r="D25" s="189"/>
      <c r="E25" s="196">
        <v>497</v>
      </c>
      <c r="F25" s="189" t="s">
        <v>268</v>
      </c>
      <c r="G25" s="195"/>
      <c r="H25" s="80" t="s">
        <v>1049</v>
      </c>
      <c r="I25" s="196">
        <v>1</v>
      </c>
      <c r="J25" s="190" t="s">
        <v>571</v>
      </c>
      <c r="K25" s="196"/>
      <c r="L25" s="189" t="s">
        <v>1115</v>
      </c>
      <c r="M25" s="194"/>
    </row>
    <row r="26" spans="1:13" x14ac:dyDescent="0.2">
      <c r="A26" s="37">
        <v>6</v>
      </c>
      <c r="B26" s="189" t="s">
        <v>497</v>
      </c>
      <c r="C26" s="190"/>
      <c r="D26" s="189"/>
      <c r="E26" s="189"/>
      <c r="F26" s="189"/>
      <c r="G26" s="195"/>
      <c r="H26" s="173" t="s">
        <v>676</v>
      </c>
      <c r="I26" s="189"/>
      <c r="J26" s="190"/>
      <c r="K26" s="189"/>
      <c r="L26" s="189"/>
      <c r="M26" s="91">
        <f>+M28+M30+M32</f>
        <v>2345000000</v>
      </c>
    </row>
    <row r="27" spans="1:13" ht="51" x14ac:dyDescent="0.2">
      <c r="A27" s="37">
        <v>7</v>
      </c>
      <c r="B27" s="189"/>
      <c r="C27" s="190"/>
      <c r="D27" s="189" t="s">
        <v>672</v>
      </c>
      <c r="E27" s="196">
        <v>499</v>
      </c>
      <c r="F27" s="189" t="s">
        <v>1080</v>
      </c>
      <c r="G27" s="195"/>
      <c r="H27" s="80" t="s">
        <v>969</v>
      </c>
      <c r="I27" s="196">
        <v>13</v>
      </c>
      <c r="J27" s="190" t="s">
        <v>898</v>
      </c>
      <c r="K27" s="196">
        <v>3</v>
      </c>
      <c r="L27" s="189" t="s">
        <v>1137</v>
      </c>
      <c r="M27" s="194"/>
    </row>
    <row r="28" spans="1:13" ht="38.25" x14ac:dyDescent="0.2">
      <c r="A28" s="37">
        <v>8</v>
      </c>
      <c r="B28" s="189"/>
      <c r="C28" s="190" t="s">
        <v>10</v>
      </c>
      <c r="D28" s="189"/>
      <c r="E28" s="189"/>
      <c r="F28" s="189"/>
      <c r="G28" s="195">
        <v>296080</v>
      </c>
      <c r="H28" s="80" t="s">
        <v>46</v>
      </c>
      <c r="I28" s="189"/>
      <c r="J28" s="190"/>
      <c r="K28" s="189"/>
      <c r="L28" s="189"/>
      <c r="M28" s="183">
        <f>+M29</f>
        <v>500000000</v>
      </c>
    </row>
    <row r="29" spans="1:13" x14ac:dyDescent="0.2">
      <c r="A29" s="37">
        <v>9</v>
      </c>
      <c r="B29" s="189"/>
      <c r="C29" s="190"/>
      <c r="D29" s="189"/>
      <c r="E29" s="189"/>
      <c r="F29" s="189"/>
      <c r="G29" s="195"/>
      <c r="H29" s="80" t="s">
        <v>835</v>
      </c>
      <c r="I29" s="189"/>
      <c r="J29" s="190"/>
      <c r="K29" s="189"/>
      <c r="L29" s="189"/>
      <c r="M29" s="183">
        <v>500000000</v>
      </c>
    </row>
    <row r="30" spans="1:13" ht="76.900000000000006" customHeight="1" x14ac:dyDescent="0.2">
      <c r="A30" s="37">
        <v>8</v>
      </c>
      <c r="B30" s="189"/>
      <c r="C30" s="190" t="s">
        <v>1290</v>
      </c>
      <c r="D30" s="189"/>
      <c r="E30" s="189"/>
      <c r="F30" s="189"/>
      <c r="G30" s="195">
        <v>296085</v>
      </c>
      <c r="H30" s="213" t="s">
        <v>1187</v>
      </c>
      <c r="I30" s="189"/>
      <c r="J30" s="190"/>
      <c r="K30" s="189"/>
      <c r="L30" s="189"/>
      <c r="M30" s="183">
        <f>+M31</f>
        <v>1045000000</v>
      </c>
    </row>
    <row r="31" spans="1:13" x14ac:dyDescent="0.2">
      <c r="A31" s="37">
        <v>9</v>
      </c>
      <c r="B31" s="189"/>
      <c r="C31" s="190"/>
      <c r="D31" s="189"/>
      <c r="E31" s="189"/>
      <c r="F31" s="189"/>
      <c r="G31" s="195"/>
      <c r="H31" s="80" t="s">
        <v>835</v>
      </c>
      <c r="I31" s="189"/>
      <c r="J31" s="190"/>
      <c r="K31" s="189"/>
      <c r="L31" s="189"/>
      <c r="M31" s="183">
        <v>1045000000</v>
      </c>
    </row>
    <row r="32" spans="1:13" ht="38.25" x14ac:dyDescent="0.2">
      <c r="A32" s="37">
        <v>8</v>
      </c>
      <c r="B32" s="189"/>
      <c r="C32" s="190" t="s">
        <v>10</v>
      </c>
      <c r="D32" s="189"/>
      <c r="E32" s="189"/>
      <c r="F32" s="189"/>
      <c r="G32" s="195">
        <v>296084</v>
      </c>
      <c r="H32" s="80" t="s">
        <v>448</v>
      </c>
      <c r="I32" s="189"/>
      <c r="J32" s="190"/>
      <c r="K32" s="189"/>
      <c r="L32" s="189"/>
      <c r="M32" s="183">
        <f>+M33</f>
        <v>800000000</v>
      </c>
    </row>
    <row r="33" spans="1:13" x14ac:dyDescent="0.2">
      <c r="A33" s="37">
        <v>9</v>
      </c>
      <c r="B33" s="189"/>
      <c r="C33" s="190"/>
      <c r="D33" s="189"/>
      <c r="E33" s="189"/>
      <c r="F33" s="189"/>
      <c r="G33" s="195"/>
      <c r="H33" s="80" t="s">
        <v>835</v>
      </c>
      <c r="I33" s="189"/>
      <c r="J33" s="190"/>
      <c r="K33" s="189"/>
      <c r="L33" s="189"/>
      <c r="M33" s="183">
        <f>1000000000-200000000</f>
        <v>800000000</v>
      </c>
    </row>
    <row r="34" spans="1:13" ht="25.5" x14ac:dyDescent="0.2">
      <c r="A34" s="37"/>
      <c r="B34" s="214" t="s">
        <v>841</v>
      </c>
      <c r="C34" s="190"/>
      <c r="D34" s="189"/>
      <c r="E34" s="189"/>
      <c r="F34" s="189"/>
      <c r="G34" s="195"/>
      <c r="H34" s="81" t="s">
        <v>1136</v>
      </c>
      <c r="I34" s="189"/>
      <c r="J34" s="190"/>
      <c r="K34" s="189"/>
      <c r="L34" s="189"/>
      <c r="M34" s="91">
        <f>+M35</f>
        <v>1253104763</v>
      </c>
    </row>
    <row r="35" spans="1:13" x14ac:dyDescent="0.2">
      <c r="A35" s="37"/>
      <c r="B35" s="214" t="s">
        <v>1025</v>
      </c>
      <c r="C35" s="190"/>
      <c r="D35" s="189"/>
      <c r="E35" s="189"/>
      <c r="F35" s="189"/>
      <c r="G35" s="195"/>
      <c r="H35" s="81" t="s">
        <v>355</v>
      </c>
      <c r="I35" s="189"/>
      <c r="J35" s="190"/>
      <c r="K35" s="189"/>
      <c r="L35" s="189"/>
      <c r="M35" s="91">
        <f>+M37</f>
        <v>1253104763</v>
      </c>
    </row>
    <row r="36" spans="1:13" x14ac:dyDescent="0.2">
      <c r="A36" s="37"/>
      <c r="B36" s="214"/>
      <c r="C36" s="190"/>
      <c r="D36" s="189"/>
      <c r="E36" s="196">
        <v>612</v>
      </c>
      <c r="F36" s="189" t="s">
        <v>268</v>
      </c>
      <c r="G36" s="195"/>
      <c r="H36" s="80" t="s">
        <v>100</v>
      </c>
      <c r="I36" s="196">
        <v>2</v>
      </c>
      <c r="J36" s="190" t="s">
        <v>1001</v>
      </c>
      <c r="K36" s="196"/>
      <c r="L36" s="189"/>
      <c r="M36" s="183"/>
    </row>
    <row r="37" spans="1:13" x14ac:dyDescent="0.2">
      <c r="A37" s="37"/>
      <c r="B37" s="214" t="s">
        <v>1137</v>
      </c>
      <c r="C37" s="190"/>
      <c r="D37" s="189"/>
      <c r="E37" s="196"/>
      <c r="F37" s="189"/>
      <c r="G37" s="195"/>
      <c r="H37" s="81" t="s">
        <v>159</v>
      </c>
      <c r="I37" s="196"/>
      <c r="J37" s="190"/>
      <c r="K37" s="196"/>
      <c r="L37" s="189"/>
      <c r="M37" s="91">
        <f>+M39</f>
        <v>1253104763</v>
      </c>
    </row>
    <row r="38" spans="1:13" ht="51" x14ac:dyDescent="0.2">
      <c r="A38" s="37"/>
      <c r="B38" s="189"/>
      <c r="C38" s="190"/>
      <c r="D38" s="189"/>
      <c r="E38" s="196">
        <v>540</v>
      </c>
      <c r="F38" s="189" t="s">
        <v>1116</v>
      </c>
      <c r="G38" s="195"/>
      <c r="H38" s="80" t="s">
        <v>375</v>
      </c>
      <c r="I38" s="196">
        <v>10</v>
      </c>
      <c r="J38" s="190" t="s">
        <v>440</v>
      </c>
      <c r="K38" s="196">
        <v>1</v>
      </c>
      <c r="L38" s="189" t="s">
        <v>422</v>
      </c>
      <c r="M38" s="183"/>
    </row>
    <row r="39" spans="1:13" ht="63" customHeight="1" x14ac:dyDescent="0.2">
      <c r="A39" s="37"/>
      <c r="B39" s="189"/>
      <c r="C39" s="190" t="s">
        <v>1159</v>
      </c>
      <c r="D39" s="189"/>
      <c r="E39" s="189"/>
      <c r="F39" s="189"/>
      <c r="G39" s="195">
        <v>296150</v>
      </c>
      <c r="H39" s="80" t="s">
        <v>1188</v>
      </c>
      <c r="I39" s="189"/>
      <c r="J39" s="190"/>
      <c r="K39" s="189"/>
      <c r="L39" s="189"/>
      <c r="M39" s="183">
        <f>+M40</f>
        <v>1253104763</v>
      </c>
    </row>
    <row r="40" spans="1:13" x14ac:dyDescent="0.2">
      <c r="A40" s="37"/>
      <c r="B40" s="52"/>
      <c r="C40" s="53"/>
      <c r="D40" s="52"/>
      <c r="E40" s="153"/>
      <c r="F40" s="153"/>
      <c r="G40" s="154"/>
      <c r="H40" s="162" t="s">
        <v>835</v>
      </c>
      <c r="I40" s="153"/>
      <c r="J40" s="160"/>
      <c r="K40" s="153"/>
      <c r="L40" s="153"/>
      <c r="M40" s="166">
        <f>713104763+540000000</f>
        <v>1253104763</v>
      </c>
    </row>
    <row r="41" spans="1:13" x14ac:dyDescent="0.2">
      <c r="A41" s="37"/>
      <c r="B41" s="52"/>
      <c r="C41" s="53"/>
      <c r="D41" s="52"/>
      <c r="E41" s="153"/>
      <c r="F41" s="153"/>
      <c r="G41" s="154"/>
      <c r="H41" s="162"/>
      <c r="I41" s="153"/>
      <c r="J41" s="160"/>
      <c r="K41" s="153"/>
      <c r="L41" s="153"/>
      <c r="M41" s="166"/>
    </row>
    <row r="42" spans="1:13" x14ac:dyDescent="0.2">
      <c r="A42" s="37"/>
      <c r="B42" s="52"/>
      <c r="C42" s="53"/>
      <c r="D42" s="52"/>
      <c r="E42" s="153"/>
      <c r="F42" s="153"/>
      <c r="G42" s="154"/>
      <c r="H42" s="162"/>
      <c r="I42" s="153"/>
      <c r="J42" s="160"/>
      <c r="K42" s="153"/>
      <c r="L42" s="153"/>
      <c r="M42" s="166"/>
    </row>
    <row r="43" spans="1:13" ht="15" x14ac:dyDescent="0.25">
      <c r="A43" s="37">
        <v>10</v>
      </c>
      <c r="B43" s="52"/>
      <c r="C43" s="53"/>
      <c r="D43" s="52"/>
      <c r="E43" s="153"/>
      <c r="F43" s="153"/>
      <c r="G43" s="154"/>
      <c r="H43" s="155" t="s">
        <v>1022</v>
      </c>
      <c r="I43" s="156"/>
      <c r="J43" s="157"/>
      <c r="K43" s="156"/>
      <c r="L43" s="156"/>
      <c r="M43" s="158">
        <f>+M9+M34</f>
        <v>8169212763</v>
      </c>
    </row>
    <row r="44" spans="1:13" ht="15" x14ac:dyDescent="0.25">
      <c r="A44" s="37"/>
      <c r="B44" s="52"/>
      <c r="C44" s="53"/>
      <c r="D44" s="52"/>
      <c r="E44" s="52"/>
      <c r="F44" s="52"/>
      <c r="G44" s="61"/>
      <c r="H44" s="63"/>
      <c r="I44" s="59"/>
      <c r="J44" s="58"/>
      <c r="K44" s="59"/>
      <c r="L44" s="59"/>
      <c r="M44" s="64"/>
    </row>
  </sheetData>
  <mergeCells count="1">
    <mergeCell ref="B2:M2"/>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39"/>
  <sheetViews>
    <sheetView topLeftCell="B1" zoomScale="80" zoomScaleNormal="80" workbookViewId="0">
      <pane xSplit="12" ySplit="4" topLeftCell="N131" activePane="bottomRight" state="frozen"/>
      <selection activeCell="B1" sqref="B1"/>
      <selection pane="topRight" activeCell="N1" sqref="N1"/>
      <selection pane="bottomLeft" activeCell="B5" sqref="B5"/>
      <selection pane="bottomRight" activeCell="B140" sqref="B140:K161"/>
    </sheetView>
  </sheetViews>
  <sheetFormatPr baseColWidth="10" defaultColWidth="9.140625" defaultRowHeight="12.75" x14ac:dyDescent="0.2"/>
  <cols>
    <col min="1" max="1" width="13.42578125" style="32" hidden="1" customWidth="1"/>
    <col min="2" max="2" width="9.42578125" style="69" customWidth="1"/>
    <col min="3" max="3" width="18" style="70" customWidth="1"/>
    <col min="4" max="4" width="8.28515625" style="69" customWidth="1"/>
    <col min="5" max="5" width="9.140625" style="69"/>
    <col min="6" max="6" width="12.85546875" style="69" customWidth="1"/>
    <col min="7" max="7" width="10" style="69" customWidth="1"/>
    <col min="8" max="8" width="69.140625" style="181"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1" spans="1:129" x14ac:dyDescent="0.2">
      <c r="B1" s="192"/>
      <c r="C1" s="193"/>
      <c r="D1" s="192"/>
      <c r="E1" s="192"/>
      <c r="F1" s="192"/>
      <c r="G1" s="192"/>
      <c r="H1" s="170"/>
      <c r="I1" s="192"/>
      <c r="J1" s="193"/>
      <c r="K1" s="192"/>
      <c r="L1" s="192"/>
      <c r="M1" s="175"/>
    </row>
    <row r="2" spans="1:129" ht="24" customHeight="1" x14ac:dyDescent="0.2">
      <c r="B2" s="210" t="s">
        <v>1103</v>
      </c>
      <c r="C2" s="210"/>
      <c r="D2" s="210"/>
      <c r="E2" s="210"/>
      <c r="F2" s="210"/>
      <c r="G2" s="210"/>
      <c r="H2" s="210"/>
      <c r="I2" s="210"/>
      <c r="J2" s="210"/>
      <c r="K2" s="210"/>
      <c r="L2" s="210"/>
      <c r="M2" s="210"/>
    </row>
    <row r="3" spans="1:129" x14ac:dyDescent="0.2">
      <c r="B3" s="192"/>
      <c r="C3" s="193"/>
      <c r="D3" s="192"/>
      <c r="E3" s="192"/>
      <c r="F3" s="192"/>
      <c r="G3" s="192"/>
      <c r="H3" s="170"/>
      <c r="I3" s="192"/>
      <c r="J3" s="193"/>
      <c r="K3" s="192"/>
      <c r="L3" s="192"/>
      <c r="M3" s="175"/>
    </row>
    <row r="4" spans="1:129" s="33" customFormat="1" ht="93.75" customHeight="1" x14ac:dyDescent="0.2">
      <c r="A4" s="33" t="s">
        <v>641</v>
      </c>
      <c r="B4" s="171" t="s">
        <v>1100</v>
      </c>
      <c r="C4" s="171" t="s">
        <v>1092</v>
      </c>
      <c r="D4" s="205" t="s">
        <v>1091</v>
      </c>
      <c r="E4" s="171" t="s">
        <v>1097</v>
      </c>
      <c r="F4" s="205" t="s">
        <v>1098</v>
      </c>
      <c r="G4" s="205" t="s">
        <v>1093</v>
      </c>
      <c r="H4" s="171" t="s">
        <v>409</v>
      </c>
      <c r="I4" s="171" t="s">
        <v>1094</v>
      </c>
      <c r="J4" s="171" t="s">
        <v>1095</v>
      </c>
      <c r="K4" s="171" t="s">
        <v>1104</v>
      </c>
      <c r="L4" s="171" t="s">
        <v>1096</v>
      </c>
      <c r="M4" s="1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row>
    <row r="5" spans="1:129" x14ac:dyDescent="0.2">
      <c r="B5" s="192"/>
      <c r="C5" s="193"/>
      <c r="D5" s="192"/>
      <c r="E5" s="192"/>
      <c r="F5" s="192"/>
      <c r="G5" s="192"/>
      <c r="H5" s="170"/>
      <c r="I5" s="192"/>
      <c r="J5" s="193"/>
      <c r="K5" s="192"/>
      <c r="L5" s="192"/>
      <c r="M5" s="175"/>
    </row>
    <row r="6" spans="1:129" ht="15" x14ac:dyDescent="0.2">
      <c r="A6" s="37">
        <v>0</v>
      </c>
      <c r="B6" s="189"/>
      <c r="C6" s="190"/>
      <c r="D6" s="189"/>
      <c r="E6" s="189"/>
      <c r="F6" s="189"/>
      <c r="G6" s="195"/>
      <c r="H6" s="207" t="s">
        <v>73</v>
      </c>
      <c r="I6" s="189"/>
      <c r="J6" s="190"/>
      <c r="K6" s="189"/>
      <c r="L6" s="189"/>
      <c r="M6" s="194"/>
    </row>
    <row r="7" spans="1:129" ht="15" x14ac:dyDescent="0.2">
      <c r="A7" s="37">
        <v>1</v>
      </c>
      <c r="B7" s="189"/>
      <c r="C7" s="190"/>
      <c r="D7" s="189"/>
      <c r="E7" s="189"/>
      <c r="F7" s="189"/>
      <c r="G7" s="195"/>
      <c r="H7" s="207" t="s">
        <v>205</v>
      </c>
      <c r="I7" s="189"/>
      <c r="J7" s="190"/>
      <c r="K7" s="189"/>
      <c r="L7" s="189"/>
      <c r="M7" s="194"/>
    </row>
    <row r="8" spans="1:129" x14ac:dyDescent="0.2">
      <c r="A8" s="37">
        <v>2</v>
      </c>
      <c r="B8" s="189"/>
      <c r="C8" s="190"/>
      <c r="D8" s="189"/>
      <c r="E8" s="189"/>
      <c r="F8" s="189"/>
      <c r="G8" s="195"/>
      <c r="H8" s="80"/>
      <c r="I8" s="189"/>
      <c r="J8" s="190"/>
      <c r="K8" s="189"/>
      <c r="L8" s="189"/>
      <c r="M8" s="194"/>
    </row>
    <row r="9" spans="1:129" x14ac:dyDescent="0.2">
      <c r="A9" s="37">
        <v>3</v>
      </c>
      <c r="B9" s="189" t="s">
        <v>301</v>
      </c>
      <c r="C9" s="190"/>
      <c r="D9" s="189"/>
      <c r="E9" s="189"/>
      <c r="F9" s="189"/>
      <c r="G9" s="195"/>
      <c r="H9" s="173" t="s">
        <v>981</v>
      </c>
      <c r="I9" s="189"/>
      <c r="J9" s="190"/>
      <c r="K9" s="189"/>
      <c r="L9" s="189"/>
      <c r="M9" s="91">
        <f>+M10</f>
        <v>508226000</v>
      </c>
    </row>
    <row r="10" spans="1:129" ht="25.5" x14ac:dyDescent="0.2">
      <c r="A10" s="37">
        <v>4</v>
      </c>
      <c r="B10" s="189" t="s">
        <v>1069</v>
      </c>
      <c r="C10" s="190"/>
      <c r="D10" s="189"/>
      <c r="E10" s="189"/>
      <c r="F10" s="189"/>
      <c r="G10" s="195"/>
      <c r="H10" s="173" t="s">
        <v>101</v>
      </c>
      <c r="I10" s="189"/>
      <c r="J10" s="190"/>
      <c r="K10" s="189"/>
      <c r="L10" s="189"/>
      <c r="M10" s="91">
        <f>+M12</f>
        <v>508226000</v>
      </c>
    </row>
    <row r="11" spans="1:129" ht="25.5" x14ac:dyDescent="0.2">
      <c r="A11" s="37">
        <v>5</v>
      </c>
      <c r="B11" s="189"/>
      <c r="C11" s="190"/>
      <c r="D11" s="189"/>
      <c r="E11" s="196">
        <v>269</v>
      </c>
      <c r="F11" s="189" t="s">
        <v>268</v>
      </c>
      <c r="G11" s="195"/>
      <c r="H11" s="80" t="s">
        <v>360</v>
      </c>
      <c r="I11" s="196">
        <v>116</v>
      </c>
      <c r="J11" s="190" t="s">
        <v>286</v>
      </c>
      <c r="K11" s="196"/>
      <c r="L11" s="189"/>
      <c r="M11" s="194"/>
    </row>
    <row r="12" spans="1:129" x14ac:dyDescent="0.2">
      <c r="A12" s="37">
        <v>6</v>
      </c>
      <c r="B12" s="189" t="s">
        <v>955</v>
      </c>
      <c r="C12" s="190"/>
      <c r="D12" s="189"/>
      <c r="E12" s="189"/>
      <c r="F12" s="189"/>
      <c r="G12" s="195"/>
      <c r="H12" s="173" t="s">
        <v>667</v>
      </c>
      <c r="I12" s="189"/>
      <c r="J12" s="190"/>
      <c r="K12" s="189"/>
      <c r="L12" s="189"/>
      <c r="M12" s="91">
        <f>+M17</f>
        <v>508226000</v>
      </c>
    </row>
    <row r="13" spans="1:129" ht="25.5" x14ac:dyDescent="0.2">
      <c r="A13" s="37"/>
      <c r="B13" s="189"/>
      <c r="C13" s="190"/>
      <c r="D13" s="189" t="s">
        <v>972</v>
      </c>
      <c r="E13" s="196">
        <v>311</v>
      </c>
      <c r="F13" s="189" t="s">
        <v>1080</v>
      </c>
      <c r="G13" s="195"/>
      <c r="H13" s="80" t="s">
        <v>157</v>
      </c>
      <c r="I13" s="196">
        <v>500</v>
      </c>
      <c r="J13" s="190" t="s">
        <v>524</v>
      </c>
      <c r="K13" s="196">
        <v>134</v>
      </c>
      <c r="L13" s="189" t="s">
        <v>1165</v>
      </c>
      <c r="M13" s="91"/>
    </row>
    <row r="14" spans="1:129" ht="25.5" x14ac:dyDescent="0.2">
      <c r="A14" s="37">
        <v>7</v>
      </c>
      <c r="B14" s="189"/>
      <c r="C14" s="190"/>
      <c r="D14" s="189" t="s">
        <v>972</v>
      </c>
      <c r="E14" s="196">
        <v>312</v>
      </c>
      <c r="F14" s="189" t="s">
        <v>1080</v>
      </c>
      <c r="G14" s="195"/>
      <c r="H14" s="80" t="s">
        <v>631</v>
      </c>
      <c r="I14" s="196">
        <v>150</v>
      </c>
      <c r="J14" s="190" t="s">
        <v>816</v>
      </c>
      <c r="K14" s="196">
        <v>20</v>
      </c>
      <c r="L14" s="189" t="s">
        <v>1227</v>
      </c>
      <c r="M14" s="194"/>
    </row>
    <row r="15" spans="1:129" ht="25.5" x14ac:dyDescent="0.2">
      <c r="A15" s="37">
        <v>7</v>
      </c>
      <c r="B15" s="189"/>
      <c r="C15" s="190"/>
      <c r="D15" s="189" t="s">
        <v>972</v>
      </c>
      <c r="E15" s="196">
        <v>313</v>
      </c>
      <c r="F15" s="189" t="s">
        <v>1080</v>
      </c>
      <c r="G15" s="195"/>
      <c r="H15" s="80" t="s">
        <v>728</v>
      </c>
      <c r="I15" s="196">
        <v>50</v>
      </c>
      <c r="J15" s="190" t="s">
        <v>524</v>
      </c>
      <c r="K15" s="196">
        <v>0</v>
      </c>
      <c r="L15" s="189" t="s">
        <v>114</v>
      </c>
      <c r="M15" s="194"/>
    </row>
    <row r="16" spans="1:129" x14ac:dyDescent="0.2">
      <c r="A16" s="37">
        <v>7</v>
      </c>
      <c r="B16" s="189"/>
      <c r="C16" s="190"/>
      <c r="D16" s="175"/>
      <c r="E16" s="175"/>
      <c r="F16" s="175"/>
      <c r="G16" s="175"/>
      <c r="H16" s="175"/>
      <c r="I16" s="175"/>
      <c r="J16" s="175"/>
      <c r="K16" s="175"/>
      <c r="L16" s="175"/>
      <c r="M16" s="194"/>
    </row>
    <row r="17" spans="1:13" ht="38.25" x14ac:dyDescent="0.2">
      <c r="A17" s="37">
        <v>8</v>
      </c>
      <c r="B17" s="189"/>
      <c r="C17" s="190" t="s">
        <v>679</v>
      </c>
      <c r="D17" s="189"/>
      <c r="E17" s="189"/>
      <c r="F17" s="189"/>
      <c r="G17" s="195">
        <v>296093</v>
      </c>
      <c r="H17" s="80" t="s">
        <v>547</v>
      </c>
      <c r="I17" s="189"/>
      <c r="J17" s="190"/>
      <c r="K17" s="189"/>
      <c r="L17" s="189"/>
      <c r="M17" s="183">
        <f>+M18+M19</f>
        <v>508226000</v>
      </c>
    </row>
    <row r="18" spans="1:13" x14ac:dyDescent="0.2">
      <c r="A18" s="37">
        <v>9</v>
      </c>
      <c r="B18" s="189"/>
      <c r="C18" s="190"/>
      <c r="D18" s="189"/>
      <c r="E18" s="189"/>
      <c r="F18" s="189"/>
      <c r="G18" s="195"/>
      <c r="H18" s="80" t="s">
        <v>480</v>
      </c>
      <c r="I18" s="189"/>
      <c r="J18" s="190"/>
      <c r="K18" s="189"/>
      <c r="L18" s="189"/>
      <c r="M18" s="183">
        <f>105000000+45000000+300000000-150000000-20000</f>
        <v>299980000</v>
      </c>
    </row>
    <row r="19" spans="1:13" x14ac:dyDescent="0.2">
      <c r="A19" s="37"/>
      <c r="B19" s="189"/>
      <c r="C19" s="190"/>
      <c r="D19" s="189"/>
      <c r="E19" s="189"/>
      <c r="F19" s="189"/>
      <c r="G19" s="195"/>
      <c r="H19" s="80" t="s">
        <v>835</v>
      </c>
      <c r="I19" s="189"/>
      <c r="J19" s="190"/>
      <c r="K19" s="189"/>
      <c r="L19" s="189"/>
      <c r="M19" s="183">
        <f>150000000+20000+58226000</f>
        <v>208246000</v>
      </c>
    </row>
    <row r="20" spans="1:13" x14ac:dyDescent="0.2">
      <c r="A20" s="37">
        <v>3</v>
      </c>
      <c r="B20" s="189" t="s">
        <v>1025</v>
      </c>
      <c r="C20" s="190"/>
      <c r="D20" s="189"/>
      <c r="E20" s="189"/>
      <c r="F20" s="189"/>
      <c r="G20" s="195"/>
      <c r="H20" s="173" t="s">
        <v>912</v>
      </c>
      <c r="I20" s="189"/>
      <c r="J20" s="190"/>
      <c r="K20" s="189"/>
      <c r="L20" s="189"/>
      <c r="M20" s="91">
        <f>+M21+M93+M127</f>
        <v>9262023000</v>
      </c>
    </row>
    <row r="21" spans="1:13" ht="25.5" x14ac:dyDescent="0.2">
      <c r="A21" s="37">
        <v>4</v>
      </c>
      <c r="B21" s="189" t="s">
        <v>285</v>
      </c>
      <c r="C21" s="190"/>
      <c r="D21" s="189"/>
      <c r="E21" s="189"/>
      <c r="F21" s="189"/>
      <c r="G21" s="195"/>
      <c r="H21" s="173" t="s">
        <v>363</v>
      </c>
      <c r="I21" s="189"/>
      <c r="J21" s="190"/>
      <c r="K21" s="189"/>
      <c r="L21" s="189"/>
      <c r="M21" s="91">
        <f>+M25+M64+M68+M79</f>
        <v>6731023000</v>
      </c>
    </row>
    <row r="22" spans="1:13" ht="25.5" x14ac:dyDescent="0.2">
      <c r="A22" s="37">
        <v>5</v>
      </c>
      <c r="B22" s="189"/>
      <c r="C22" s="190"/>
      <c r="D22" s="189"/>
      <c r="E22" s="196">
        <v>359</v>
      </c>
      <c r="F22" s="189" t="s">
        <v>268</v>
      </c>
      <c r="G22" s="195"/>
      <c r="H22" s="80" t="s">
        <v>820</v>
      </c>
      <c r="I22" s="196">
        <v>13200</v>
      </c>
      <c r="J22" s="190" t="s">
        <v>208</v>
      </c>
      <c r="K22" s="196">
        <v>3400</v>
      </c>
      <c r="L22" s="196">
        <v>3700</v>
      </c>
      <c r="M22" s="194"/>
    </row>
    <row r="23" spans="1:13" ht="25.5" x14ac:dyDescent="0.2">
      <c r="A23" s="37">
        <v>5</v>
      </c>
      <c r="B23" s="189"/>
      <c r="C23" s="190"/>
      <c r="D23" s="189"/>
      <c r="E23" s="196">
        <v>360</v>
      </c>
      <c r="F23" s="189" t="s">
        <v>268</v>
      </c>
      <c r="G23" s="195"/>
      <c r="H23" s="80" t="s">
        <v>198</v>
      </c>
      <c r="I23" s="196">
        <v>400000</v>
      </c>
      <c r="J23" s="190" t="s">
        <v>633</v>
      </c>
      <c r="K23" s="196">
        <v>0</v>
      </c>
      <c r="L23" s="196">
        <v>120000</v>
      </c>
      <c r="M23" s="194"/>
    </row>
    <row r="24" spans="1:13" ht="25.5" x14ac:dyDescent="0.2">
      <c r="A24" s="37">
        <v>5</v>
      </c>
      <c r="B24" s="189"/>
      <c r="C24" s="190"/>
      <c r="D24" s="189"/>
      <c r="E24" s="196">
        <v>375</v>
      </c>
      <c r="F24" s="189" t="s">
        <v>268</v>
      </c>
      <c r="G24" s="195"/>
      <c r="H24" s="80" t="s">
        <v>868</v>
      </c>
      <c r="I24" s="196">
        <v>5115</v>
      </c>
      <c r="J24" s="190" t="s">
        <v>524</v>
      </c>
      <c r="K24" s="196">
        <v>1485</v>
      </c>
      <c r="L24" s="196">
        <v>1500</v>
      </c>
      <c r="M24" s="194"/>
    </row>
    <row r="25" spans="1:13" x14ac:dyDescent="0.2">
      <c r="A25" s="37">
        <v>6</v>
      </c>
      <c r="B25" s="189" t="s">
        <v>857</v>
      </c>
      <c r="C25" s="190"/>
      <c r="D25" s="189"/>
      <c r="E25" s="189"/>
      <c r="F25" s="189"/>
      <c r="G25" s="195"/>
      <c r="H25" s="173" t="s">
        <v>761</v>
      </c>
      <c r="I25" s="189"/>
      <c r="J25" s="190"/>
      <c r="K25" s="189"/>
      <c r="L25" s="189"/>
      <c r="M25" s="91">
        <f>+M33+M38+M41+M46+M52+M57+M59+M61+M35+M44+M49+M31+M54</f>
        <v>2536023000</v>
      </c>
    </row>
    <row r="26" spans="1:13" ht="51" x14ac:dyDescent="0.2">
      <c r="A26" s="37"/>
      <c r="B26" s="189"/>
      <c r="C26" s="190"/>
      <c r="D26" s="189" t="s">
        <v>695</v>
      </c>
      <c r="E26" s="196">
        <v>361</v>
      </c>
      <c r="F26" s="189" t="s">
        <v>1080</v>
      </c>
      <c r="G26" s="195"/>
      <c r="H26" s="176" t="s">
        <v>811</v>
      </c>
      <c r="I26" s="196">
        <v>10000</v>
      </c>
      <c r="J26" s="190" t="s">
        <v>208</v>
      </c>
      <c r="K26" s="196">
        <v>5796</v>
      </c>
      <c r="L26" s="196">
        <v>3000</v>
      </c>
      <c r="M26" s="91"/>
    </row>
    <row r="27" spans="1:13" ht="63.75" x14ac:dyDescent="0.2">
      <c r="A27" s="37"/>
      <c r="B27" s="189"/>
      <c r="C27" s="190"/>
      <c r="D27" s="189" t="s">
        <v>695</v>
      </c>
      <c r="E27" s="196">
        <v>362</v>
      </c>
      <c r="F27" s="189" t="s">
        <v>1080</v>
      </c>
      <c r="G27" s="195"/>
      <c r="H27" s="176" t="s">
        <v>976</v>
      </c>
      <c r="I27" s="196">
        <v>4</v>
      </c>
      <c r="J27" s="190" t="s">
        <v>566</v>
      </c>
      <c r="K27" s="196">
        <v>2</v>
      </c>
      <c r="L27" s="189" t="s">
        <v>301</v>
      </c>
      <c r="M27" s="91"/>
    </row>
    <row r="28" spans="1:13" ht="25.5" x14ac:dyDescent="0.2">
      <c r="A28" s="37">
        <v>7</v>
      </c>
      <c r="B28" s="189"/>
      <c r="C28" s="190"/>
      <c r="D28" s="189" t="s">
        <v>695</v>
      </c>
      <c r="E28" s="196">
        <v>363</v>
      </c>
      <c r="F28" s="189" t="s">
        <v>1080</v>
      </c>
      <c r="G28" s="195"/>
      <c r="H28" s="80" t="s">
        <v>393</v>
      </c>
      <c r="I28" s="196">
        <v>3</v>
      </c>
      <c r="J28" s="190" t="s">
        <v>977</v>
      </c>
      <c r="K28" s="196">
        <v>3</v>
      </c>
      <c r="L28" s="189" t="s">
        <v>422</v>
      </c>
      <c r="M28" s="194"/>
    </row>
    <row r="29" spans="1:13" ht="25.5" x14ac:dyDescent="0.2">
      <c r="A29" s="37">
        <v>7</v>
      </c>
      <c r="B29" s="189"/>
      <c r="C29" s="190"/>
      <c r="D29" s="189" t="s">
        <v>695</v>
      </c>
      <c r="E29" s="196">
        <v>364</v>
      </c>
      <c r="F29" s="189" t="s">
        <v>1080</v>
      </c>
      <c r="G29" s="195"/>
      <c r="H29" s="80" t="s">
        <v>137</v>
      </c>
      <c r="I29" s="196">
        <v>20</v>
      </c>
      <c r="J29" s="190" t="s">
        <v>886</v>
      </c>
      <c r="K29" s="196">
        <v>10</v>
      </c>
      <c r="L29" s="189" t="s">
        <v>841</v>
      </c>
      <c r="M29" s="194"/>
    </row>
    <row r="30" spans="1:13" x14ac:dyDescent="0.2">
      <c r="A30" s="37">
        <v>7</v>
      </c>
      <c r="B30" s="189"/>
      <c r="C30" s="190"/>
      <c r="D30" s="175"/>
      <c r="E30" s="175"/>
      <c r="F30" s="175"/>
      <c r="G30" s="175"/>
      <c r="H30" s="175"/>
      <c r="I30" s="175"/>
      <c r="J30" s="175"/>
      <c r="K30" s="175"/>
      <c r="L30" s="175"/>
      <c r="M30" s="194"/>
    </row>
    <row r="31" spans="1:13" ht="38.25" x14ac:dyDescent="0.2">
      <c r="A31" s="37"/>
      <c r="B31" s="189"/>
      <c r="C31" s="190" t="s">
        <v>10</v>
      </c>
      <c r="D31" s="189"/>
      <c r="E31" s="196"/>
      <c r="F31" s="189"/>
      <c r="G31" s="195">
        <v>295988</v>
      </c>
      <c r="H31" s="176" t="s">
        <v>1434</v>
      </c>
      <c r="I31" s="196"/>
      <c r="J31" s="190"/>
      <c r="K31" s="196"/>
      <c r="L31" s="196"/>
      <c r="M31" s="183">
        <f>+M32</f>
        <v>80000000</v>
      </c>
    </row>
    <row r="32" spans="1:13" x14ac:dyDescent="0.2">
      <c r="A32" s="37"/>
      <c r="B32" s="189"/>
      <c r="C32" s="190"/>
      <c r="D32" s="189"/>
      <c r="E32" s="196"/>
      <c r="F32" s="189"/>
      <c r="G32" s="195"/>
      <c r="H32" s="80" t="s">
        <v>480</v>
      </c>
      <c r="I32" s="196"/>
      <c r="J32" s="190"/>
      <c r="K32" s="196"/>
      <c r="L32" s="196"/>
      <c r="M32" s="183">
        <v>80000000</v>
      </c>
    </row>
    <row r="33" spans="1:13" ht="51" x14ac:dyDescent="0.2">
      <c r="A33" s="37">
        <v>8</v>
      </c>
      <c r="B33" s="189"/>
      <c r="C33" s="190" t="s">
        <v>1190</v>
      </c>
      <c r="D33" s="189"/>
      <c r="E33" s="189"/>
      <c r="F33" s="189"/>
      <c r="G33" s="195">
        <v>295989</v>
      </c>
      <c r="H33" s="80" t="s">
        <v>1191</v>
      </c>
      <c r="I33" s="189"/>
      <c r="J33" s="190"/>
      <c r="K33" s="189"/>
      <c r="L33" s="189"/>
      <c r="M33" s="183">
        <f>+M34</f>
        <v>5000000</v>
      </c>
    </row>
    <row r="34" spans="1:13" x14ac:dyDescent="0.2">
      <c r="A34" s="37">
        <v>9</v>
      </c>
      <c r="B34" s="189"/>
      <c r="C34" s="190"/>
      <c r="D34" s="189"/>
      <c r="E34" s="189"/>
      <c r="F34" s="189"/>
      <c r="G34" s="195"/>
      <c r="H34" s="80" t="s">
        <v>480</v>
      </c>
      <c r="I34" s="189"/>
      <c r="J34" s="190"/>
      <c r="K34" s="189"/>
      <c r="L34" s="189"/>
      <c r="M34" s="183">
        <v>5000000</v>
      </c>
    </row>
    <row r="35" spans="1:13" ht="25.5" x14ac:dyDescent="0.2">
      <c r="A35" s="37"/>
      <c r="B35" s="189"/>
      <c r="C35" s="190" t="s">
        <v>10</v>
      </c>
      <c r="D35" s="189"/>
      <c r="E35" s="189"/>
      <c r="F35" s="189"/>
      <c r="G35" s="195">
        <v>295989</v>
      </c>
      <c r="H35" s="80" t="s">
        <v>125</v>
      </c>
      <c r="I35" s="189"/>
      <c r="J35" s="190"/>
      <c r="K35" s="189"/>
      <c r="L35" s="189"/>
      <c r="M35" s="183">
        <f>+M36+M37</f>
        <v>195000000</v>
      </c>
    </row>
    <row r="36" spans="1:13" x14ac:dyDescent="0.2">
      <c r="A36" s="37"/>
      <c r="B36" s="189"/>
      <c r="C36" s="190"/>
      <c r="D36" s="189"/>
      <c r="E36" s="189"/>
      <c r="F36" s="189"/>
      <c r="G36" s="195"/>
      <c r="H36" s="80" t="s">
        <v>480</v>
      </c>
      <c r="I36" s="189"/>
      <c r="J36" s="190"/>
      <c r="K36" s="189"/>
      <c r="L36" s="189"/>
      <c r="M36" s="183">
        <v>145000000</v>
      </c>
    </row>
    <row r="37" spans="1:13" x14ac:dyDescent="0.2">
      <c r="A37" s="37"/>
      <c r="B37" s="189"/>
      <c r="C37" s="190"/>
      <c r="D37" s="189"/>
      <c r="E37" s="189"/>
      <c r="F37" s="189"/>
      <c r="G37" s="195"/>
      <c r="H37" s="80" t="s">
        <v>835</v>
      </c>
      <c r="I37" s="189"/>
      <c r="J37" s="190"/>
      <c r="K37" s="189"/>
      <c r="L37" s="189"/>
      <c r="M37" s="183">
        <v>50000000</v>
      </c>
    </row>
    <row r="38" spans="1:13" ht="25.5" x14ac:dyDescent="0.2">
      <c r="A38" s="37">
        <v>8</v>
      </c>
      <c r="B38" s="189"/>
      <c r="C38" s="190" t="s">
        <v>679</v>
      </c>
      <c r="D38" s="189"/>
      <c r="E38" s="189"/>
      <c r="F38" s="189"/>
      <c r="G38" s="195">
        <v>295993</v>
      </c>
      <c r="H38" s="80" t="s">
        <v>749</v>
      </c>
      <c r="I38" s="189"/>
      <c r="J38" s="190"/>
      <c r="K38" s="189"/>
      <c r="L38" s="189"/>
      <c r="M38" s="183">
        <f>+M39+M40</f>
        <v>150000000</v>
      </c>
    </row>
    <row r="39" spans="1:13" x14ac:dyDescent="0.2">
      <c r="A39" s="37">
        <v>9</v>
      </c>
      <c r="B39" s="189"/>
      <c r="C39" s="190"/>
      <c r="D39" s="189"/>
      <c r="E39" s="189"/>
      <c r="F39" s="189"/>
      <c r="G39" s="195"/>
      <c r="H39" s="80" t="s">
        <v>480</v>
      </c>
      <c r="I39" s="189"/>
      <c r="J39" s="190"/>
      <c r="K39" s="189"/>
      <c r="L39" s="189"/>
      <c r="M39" s="183">
        <v>100000000</v>
      </c>
    </row>
    <row r="40" spans="1:13" x14ac:dyDescent="0.2">
      <c r="A40" s="37"/>
      <c r="B40" s="189"/>
      <c r="C40" s="190"/>
      <c r="D40" s="189"/>
      <c r="E40" s="189"/>
      <c r="F40" s="189"/>
      <c r="G40" s="195"/>
      <c r="H40" s="80" t="s">
        <v>835</v>
      </c>
      <c r="I40" s="189"/>
      <c r="J40" s="190"/>
      <c r="K40" s="189"/>
      <c r="L40" s="189"/>
      <c r="M40" s="183">
        <v>50000000</v>
      </c>
    </row>
    <row r="41" spans="1:13" ht="29.45" customHeight="1" x14ac:dyDescent="0.2">
      <c r="A41" s="37">
        <v>8</v>
      </c>
      <c r="B41" s="189"/>
      <c r="C41" s="190" t="s">
        <v>679</v>
      </c>
      <c r="D41" s="189"/>
      <c r="E41" s="189"/>
      <c r="F41" s="189"/>
      <c r="G41" s="195">
        <v>295995</v>
      </c>
      <c r="H41" s="80" t="s">
        <v>939</v>
      </c>
      <c r="I41" s="189"/>
      <c r="J41" s="190"/>
      <c r="K41" s="189"/>
      <c r="L41" s="189"/>
      <c r="M41" s="183">
        <f>+M42+M43</f>
        <v>200000000</v>
      </c>
    </row>
    <row r="42" spans="1:13" x14ac:dyDescent="0.2">
      <c r="A42" s="37">
        <v>9</v>
      </c>
      <c r="B42" s="189"/>
      <c r="C42" s="190"/>
      <c r="D42" s="189"/>
      <c r="E42" s="189"/>
      <c r="F42" s="189"/>
      <c r="G42" s="195"/>
      <c r="H42" s="80" t="s">
        <v>480</v>
      </c>
      <c r="I42" s="189"/>
      <c r="J42" s="190"/>
      <c r="K42" s="189"/>
      <c r="L42" s="189"/>
      <c r="M42" s="183">
        <v>150000000</v>
      </c>
    </row>
    <row r="43" spans="1:13" x14ac:dyDescent="0.2">
      <c r="A43" s="37"/>
      <c r="B43" s="189"/>
      <c r="C43" s="190"/>
      <c r="D43" s="189"/>
      <c r="E43" s="189"/>
      <c r="F43" s="189"/>
      <c r="G43" s="195"/>
      <c r="H43" s="80" t="s">
        <v>835</v>
      </c>
      <c r="I43" s="189"/>
      <c r="J43" s="190"/>
      <c r="K43" s="189"/>
      <c r="L43" s="189"/>
      <c r="M43" s="183">
        <v>50000000</v>
      </c>
    </row>
    <row r="44" spans="1:13" ht="38.25" x14ac:dyDescent="0.2">
      <c r="A44" s="37"/>
      <c r="B44" s="189"/>
      <c r="C44" s="190"/>
      <c r="D44" s="189"/>
      <c r="E44" s="189"/>
      <c r="F44" s="189"/>
      <c r="G44" s="195">
        <v>295996</v>
      </c>
      <c r="H44" s="80" t="s">
        <v>1432</v>
      </c>
      <c r="I44" s="189"/>
      <c r="J44" s="190"/>
      <c r="K44" s="189"/>
      <c r="L44" s="189"/>
      <c r="M44" s="183">
        <f>+M45</f>
        <v>147000000</v>
      </c>
    </row>
    <row r="45" spans="1:13" x14ac:dyDescent="0.2">
      <c r="A45" s="37"/>
      <c r="B45" s="189"/>
      <c r="C45" s="190"/>
      <c r="D45" s="189"/>
      <c r="E45" s="189"/>
      <c r="F45" s="189"/>
      <c r="G45" s="195"/>
      <c r="H45" s="80" t="s">
        <v>480</v>
      </c>
      <c r="I45" s="189"/>
      <c r="J45" s="190"/>
      <c r="K45" s="189"/>
      <c r="L45" s="189"/>
      <c r="M45" s="183">
        <f>50000000+97000000</f>
        <v>147000000</v>
      </c>
    </row>
    <row r="46" spans="1:13" ht="38.25" x14ac:dyDescent="0.2">
      <c r="A46" s="37">
        <v>8</v>
      </c>
      <c r="B46" s="189"/>
      <c r="C46" s="190" t="s">
        <v>679</v>
      </c>
      <c r="D46" s="189"/>
      <c r="E46" s="189"/>
      <c r="F46" s="189"/>
      <c r="G46" s="195">
        <v>295997</v>
      </c>
      <c r="H46" s="80" t="s">
        <v>902</v>
      </c>
      <c r="I46" s="189"/>
      <c r="J46" s="190"/>
      <c r="K46" s="189"/>
      <c r="L46" s="189"/>
      <c r="M46" s="183">
        <f>+M47+M48</f>
        <v>200000000</v>
      </c>
    </row>
    <row r="47" spans="1:13" x14ac:dyDescent="0.2">
      <c r="A47" s="37">
        <v>9</v>
      </c>
      <c r="B47" s="189"/>
      <c r="C47" s="190"/>
      <c r="D47" s="189"/>
      <c r="E47" s="189"/>
      <c r="F47" s="189"/>
      <c r="G47" s="195"/>
      <c r="H47" s="80" t="s">
        <v>480</v>
      </c>
      <c r="I47" s="189"/>
      <c r="J47" s="190"/>
      <c r="K47" s="189"/>
      <c r="L47" s="189"/>
      <c r="M47" s="183">
        <v>150000000</v>
      </c>
    </row>
    <row r="48" spans="1:13" x14ac:dyDescent="0.2">
      <c r="A48" s="37"/>
      <c r="B48" s="189"/>
      <c r="C48" s="190"/>
      <c r="D48" s="189"/>
      <c r="E48" s="189"/>
      <c r="F48" s="189"/>
      <c r="G48" s="195"/>
      <c r="H48" s="80" t="s">
        <v>835</v>
      </c>
      <c r="I48" s="189"/>
      <c r="J48" s="190"/>
      <c r="K48" s="189"/>
      <c r="L48" s="189"/>
      <c r="M48" s="183">
        <v>50000000</v>
      </c>
    </row>
    <row r="49" spans="1:13" ht="25.5" x14ac:dyDescent="0.2">
      <c r="A49" s="37"/>
      <c r="B49" s="189"/>
      <c r="C49" s="190" t="s">
        <v>1513</v>
      </c>
      <c r="D49" s="189"/>
      <c r="E49" s="189"/>
      <c r="F49" s="189"/>
      <c r="G49" s="195">
        <v>296000</v>
      </c>
      <c r="H49" s="80" t="s">
        <v>1433</v>
      </c>
      <c r="I49" s="189"/>
      <c r="J49" s="190"/>
      <c r="K49" s="189"/>
      <c r="L49" s="189"/>
      <c r="M49" s="183">
        <f>+M50+M51</f>
        <v>129000000</v>
      </c>
    </row>
    <row r="50" spans="1:13" x14ac:dyDescent="0.2">
      <c r="A50" s="37"/>
      <c r="B50" s="189"/>
      <c r="C50" s="190"/>
      <c r="D50" s="189"/>
      <c r="E50" s="189"/>
      <c r="F50" s="189"/>
      <c r="G50" s="195"/>
      <c r="H50" s="80" t="s">
        <v>480</v>
      </c>
      <c r="I50" s="189"/>
      <c r="J50" s="190"/>
      <c r="K50" s="189"/>
      <c r="L50" s="189"/>
      <c r="M50" s="183">
        <v>79000000</v>
      </c>
    </row>
    <row r="51" spans="1:13" x14ac:dyDescent="0.2">
      <c r="A51" s="37"/>
      <c r="B51" s="189"/>
      <c r="C51" s="190"/>
      <c r="D51" s="189"/>
      <c r="E51" s="189"/>
      <c r="F51" s="189"/>
      <c r="G51" s="195"/>
      <c r="H51" s="80" t="s">
        <v>835</v>
      </c>
      <c r="I51" s="189"/>
      <c r="J51" s="190"/>
      <c r="K51" s="189"/>
      <c r="L51" s="189"/>
      <c r="M51" s="183">
        <v>50000000</v>
      </c>
    </row>
    <row r="52" spans="1:13" ht="38.25" x14ac:dyDescent="0.2">
      <c r="A52" s="37">
        <v>8</v>
      </c>
      <c r="B52" s="189"/>
      <c r="C52" s="190" t="s">
        <v>679</v>
      </c>
      <c r="D52" s="189"/>
      <c r="E52" s="189"/>
      <c r="F52" s="189"/>
      <c r="G52" s="195">
        <v>296008</v>
      </c>
      <c r="H52" s="80" t="s">
        <v>468</v>
      </c>
      <c r="I52" s="189"/>
      <c r="J52" s="190"/>
      <c r="K52" s="189"/>
      <c r="L52" s="189"/>
      <c r="M52" s="183">
        <f>+M53</f>
        <v>868000000</v>
      </c>
    </row>
    <row r="53" spans="1:13" x14ac:dyDescent="0.2">
      <c r="A53" s="37">
        <v>9</v>
      </c>
      <c r="B53" s="189"/>
      <c r="C53" s="190"/>
      <c r="D53" s="189"/>
      <c r="E53" s="189"/>
      <c r="F53" s="189"/>
      <c r="G53" s="195"/>
      <c r="H53" s="80" t="s">
        <v>480</v>
      </c>
      <c r="I53" s="189"/>
      <c r="J53" s="190"/>
      <c r="K53" s="189"/>
      <c r="L53" s="189"/>
      <c r="M53" s="183">
        <f>150000000+799000000+199000000-280000000</f>
        <v>868000000</v>
      </c>
    </row>
    <row r="54" spans="1:13" ht="38.25" x14ac:dyDescent="0.2">
      <c r="A54" s="37"/>
      <c r="B54" s="189"/>
      <c r="C54" s="190" t="s">
        <v>1532</v>
      </c>
      <c r="D54" s="189"/>
      <c r="E54" s="189"/>
      <c r="F54" s="189"/>
      <c r="G54" s="195">
        <v>296008</v>
      </c>
      <c r="H54" s="80" t="s">
        <v>1531</v>
      </c>
      <c r="I54" s="189"/>
      <c r="J54" s="190"/>
      <c r="K54" s="189"/>
      <c r="L54" s="189"/>
      <c r="M54" s="183">
        <f>+M55</f>
        <v>280000000</v>
      </c>
    </row>
    <row r="55" spans="1:13" x14ac:dyDescent="0.2">
      <c r="A55" s="37"/>
      <c r="B55" s="189"/>
      <c r="C55" s="190"/>
      <c r="D55" s="189"/>
      <c r="E55" s="189"/>
      <c r="F55" s="189"/>
      <c r="G55" s="195"/>
      <c r="H55" s="80" t="s">
        <v>480</v>
      </c>
      <c r="I55" s="189"/>
      <c r="J55" s="190"/>
      <c r="K55" s="189"/>
      <c r="L55" s="189"/>
      <c r="M55" s="183">
        <v>280000000</v>
      </c>
    </row>
    <row r="56" spans="1:13" x14ac:dyDescent="0.2">
      <c r="A56" s="37"/>
      <c r="B56" s="189"/>
      <c r="C56" s="190"/>
      <c r="D56" s="189"/>
      <c r="E56" s="189"/>
      <c r="F56" s="189"/>
      <c r="G56" s="195"/>
      <c r="H56" s="80"/>
      <c r="I56" s="189"/>
      <c r="J56" s="190"/>
      <c r="K56" s="189"/>
      <c r="L56" s="189"/>
      <c r="M56" s="183"/>
    </row>
    <row r="57" spans="1:13" ht="51" x14ac:dyDescent="0.2">
      <c r="A57" s="37">
        <v>8</v>
      </c>
      <c r="B57" s="189"/>
      <c r="C57" s="190" t="s">
        <v>1159</v>
      </c>
      <c r="D57" s="189"/>
      <c r="E57" s="189"/>
      <c r="F57" s="189"/>
      <c r="G57" s="195">
        <v>296014</v>
      </c>
      <c r="H57" s="174" t="s">
        <v>1192</v>
      </c>
      <c r="I57" s="189"/>
      <c r="J57" s="190"/>
      <c r="K57" s="189"/>
      <c r="L57" s="189"/>
      <c r="M57" s="183">
        <f>+M58</f>
        <v>50000000</v>
      </c>
    </row>
    <row r="58" spans="1:13" x14ac:dyDescent="0.2">
      <c r="A58" s="37">
        <v>9</v>
      </c>
      <c r="B58" s="189"/>
      <c r="C58" s="190"/>
      <c r="D58" s="189"/>
      <c r="E58" s="189"/>
      <c r="F58" s="189"/>
      <c r="G58" s="195"/>
      <c r="H58" s="80" t="s">
        <v>835</v>
      </c>
      <c r="I58" s="189"/>
      <c r="J58" s="190"/>
      <c r="K58" s="189"/>
      <c r="L58" s="189"/>
      <c r="M58" s="183">
        <v>50000000</v>
      </c>
    </row>
    <row r="59" spans="1:13" ht="25.5" x14ac:dyDescent="0.2">
      <c r="A59" s="37">
        <v>8</v>
      </c>
      <c r="B59" s="189"/>
      <c r="C59" s="190" t="s">
        <v>10</v>
      </c>
      <c r="D59" s="189"/>
      <c r="E59" s="189"/>
      <c r="F59" s="189"/>
      <c r="G59" s="195">
        <v>296015</v>
      </c>
      <c r="H59" s="80" t="s">
        <v>212</v>
      </c>
      <c r="I59" s="189"/>
      <c r="J59" s="190"/>
      <c r="K59" s="189"/>
      <c r="L59" s="189"/>
      <c r="M59" s="183">
        <f>+M60</f>
        <v>50000000</v>
      </c>
    </row>
    <row r="60" spans="1:13" x14ac:dyDescent="0.2">
      <c r="A60" s="37"/>
      <c r="B60" s="189"/>
      <c r="C60" s="190"/>
      <c r="D60" s="189"/>
      <c r="E60" s="189"/>
      <c r="F60" s="189"/>
      <c r="G60" s="195"/>
      <c r="H60" s="80" t="s">
        <v>480</v>
      </c>
      <c r="I60" s="189"/>
      <c r="J60" s="190"/>
      <c r="K60" s="189"/>
      <c r="L60" s="189"/>
      <c r="M60" s="183">
        <v>50000000</v>
      </c>
    </row>
    <row r="61" spans="1:13" ht="51" x14ac:dyDescent="0.2">
      <c r="A61" s="37"/>
      <c r="B61" s="189"/>
      <c r="C61" s="190"/>
      <c r="D61" s="189"/>
      <c r="E61" s="189"/>
      <c r="F61" s="189"/>
      <c r="G61" s="195">
        <v>296152</v>
      </c>
      <c r="H61" s="80" t="s">
        <v>1138</v>
      </c>
      <c r="I61" s="189"/>
      <c r="J61" s="190"/>
      <c r="K61" s="189"/>
      <c r="L61" s="189"/>
      <c r="M61" s="183">
        <f>+M62</f>
        <v>182023000</v>
      </c>
    </row>
    <row r="62" spans="1:13" x14ac:dyDescent="0.2">
      <c r="A62" s="37"/>
      <c r="B62" s="189"/>
      <c r="C62" s="190"/>
      <c r="D62" s="189"/>
      <c r="E62" s="189"/>
      <c r="F62" s="189"/>
      <c r="G62" s="195"/>
      <c r="H62" s="80" t="s">
        <v>480</v>
      </c>
      <c r="I62" s="189"/>
      <c r="J62" s="190"/>
      <c r="K62" s="189"/>
      <c r="L62" s="189"/>
      <c r="M62" s="183">
        <f>30000000+152023000</f>
        <v>182023000</v>
      </c>
    </row>
    <row r="63" spans="1:13" x14ac:dyDescent="0.2">
      <c r="A63" s="37"/>
      <c r="B63" s="189"/>
      <c r="C63" s="190"/>
      <c r="D63" s="189"/>
      <c r="E63" s="189"/>
      <c r="F63" s="189"/>
      <c r="G63" s="195"/>
      <c r="H63" s="80"/>
      <c r="I63" s="189"/>
      <c r="J63" s="190"/>
      <c r="K63" s="189"/>
      <c r="L63" s="189"/>
      <c r="M63" s="183"/>
    </row>
    <row r="64" spans="1:13" x14ac:dyDescent="0.2">
      <c r="A64" s="37">
        <v>6</v>
      </c>
      <c r="B64" s="189" t="s">
        <v>497</v>
      </c>
      <c r="C64" s="190"/>
      <c r="D64" s="189"/>
      <c r="E64" s="189"/>
      <c r="F64" s="189"/>
      <c r="G64" s="195"/>
      <c r="H64" s="173" t="s">
        <v>95</v>
      </c>
      <c r="I64" s="189"/>
      <c r="J64" s="190"/>
      <c r="K64" s="189"/>
      <c r="L64" s="189"/>
      <c r="M64" s="91">
        <f>+M66</f>
        <v>1998000000</v>
      </c>
    </row>
    <row r="65" spans="1:13" ht="25.5" x14ac:dyDescent="0.2">
      <c r="A65" s="37">
        <v>7</v>
      </c>
      <c r="B65" s="189"/>
      <c r="C65" s="190"/>
      <c r="D65" s="189" t="s">
        <v>588</v>
      </c>
      <c r="E65" s="196">
        <v>365</v>
      </c>
      <c r="F65" s="189" t="s">
        <v>1080</v>
      </c>
      <c r="G65" s="195"/>
      <c r="H65" s="80" t="s">
        <v>917</v>
      </c>
      <c r="I65" s="196">
        <v>6000</v>
      </c>
      <c r="J65" s="190" t="s">
        <v>52</v>
      </c>
      <c r="K65" s="196">
        <v>4960</v>
      </c>
      <c r="L65" s="189" t="s">
        <v>1431</v>
      </c>
      <c r="M65" s="194"/>
    </row>
    <row r="66" spans="1:13" ht="38.25" x14ac:dyDescent="0.2">
      <c r="A66" s="37">
        <v>8</v>
      </c>
      <c r="B66" s="189"/>
      <c r="C66" s="190" t="s">
        <v>679</v>
      </c>
      <c r="D66" s="189"/>
      <c r="E66" s="189"/>
      <c r="F66" s="189"/>
      <c r="G66" s="195">
        <v>295972</v>
      </c>
      <c r="H66" s="80" t="s">
        <v>1038</v>
      </c>
      <c r="I66" s="189"/>
      <c r="J66" s="190"/>
      <c r="K66" s="189"/>
      <c r="L66" s="189"/>
      <c r="M66" s="183">
        <f>+M67</f>
        <v>1998000000</v>
      </c>
    </row>
    <row r="67" spans="1:13" x14ac:dyDescent="0.2">
      <c r="A67" s="37">
        <v>9</v>
      </c>
      <c r="B67" s="189"/>
      <c r="C67" s="190"/>
      <c r="D67" s="189"/>
      <c r="E67" s="189"/>
      <c r="F67" s="189"/>
      <c r="G67" s="195"/>
      <c r="H67" s="80" t="s">
        <v>480</v>
      </c>
      <c r="I67" s="189"/>
      <c r="J67" s="190"/>
      <c r="K67" s="189"/>
      <c r="L67" s="189"/>
      <c r="M67" s="183">
        <v>1998000000</v>
      </c>
    </row>
    <row r="68" spans="1:13" x14ac:dyDescent="0.2">
      <c r="A68" s="37">
        <v>6</v>
      </c>
      <c r="B68" s="189" t="s">
        <v>955</v>
      </c>
      <c r="C68" s="190"/>
      <c r="D68" s="189"/>
      <c r="E68" s="189"/>
      <c r="F68" s="189"/>
      <c r="G68" s="195"/>
      <c r="H68" s="173" t="s">
        <v>12</v>
      </c>
      <c r="I68" s="189"/>
      <c r="J68" s="190"/>
      <c r="K68" s="189"/>
      <c r="L68" s="189"/>
      <c r="M68" s="91">
        <f>+M71+M73+M76</f>
        <v>749000000</v>
      </c>
    </row>
    <row r="69" spans="1:13" ht="25.5" x14ac:dyDescent="0.2">
      <c r="A69" s="37">
        <v>7</v>
      </c>
      <c r="B69" s="189"/>
      <c r="C69" s="190"/>
      <c r="D69" s="189" t="s">
        <v>695</v>
      </c>
      <c r="E69" s="196">
        <v>367</v>
      </c>
      <c r="F69" s="189" t="s">
        <v>1080</v>
      </c>
      <c r="G69" s="195"/>
      <c r="H69" s="80" t="s">
        <v>743</v>
      </c>
      <c r="I69" s="196">
        <v>500</v>
      </c>
      <c r="J69" s="190" t="s">
        <v>84</v>
      </c>
      <c r="K69" s="196">
        <v>24</v>
      </c>
      <c r="L69" s="189" t="s">
        <v>1435</v>
      </c>
      <c r="M69" s="194"/>
    </row>
    <row r="70" spans="1:13" ht="38.25" x14ac:dyDescent="0.2">
      <c r="A70" s="37">
        <v>7</v>
      </c>
      <c r="B70" s="189"/>
      <c r="C70" s="190"/>
      <c r="D70" s="189" t="s">
        <v>695</v>
      </c>
      <c r="E70" s="196">
        <v>366</v>
      </c>
      <c r="F70" s="189" t="s">
        <v>1080</v>
      </c>
      <c r="G70" s="195"/>
      <c r="H70" s="80" t="s">
        <v>678</v>
      </c>
      <c r="I70" s="196">
        <v>10</v>
      </c>
      <c r="J70" s="190" t="s">
        <v>1039</v>
      </c>
      <c r="K70" s="196">
        <v>6</v>
      </c>
      <c r="L70" s="189" t="s">
        <v>422</v>
      </c>
      <c r="M70" s="194"/>
    </row>
    <row r="71" spans="1:13" ht="25.5" x14ac:dyDescent="0.2">
      <c r="A71" s="37">
        <v>8</v>
      </c>
      <c r="B71" s="189"/>
      <c r="C71" s="190" t="s">
        <v>679</v>
      </c>
      <c r="D71" s="189"/>
      <c r="E71" s="189"/>
      <c r="F71" s="189"/>
      <c r="G71" s="195">
        <v>295989</v>
      </c>
      <c r="H71" s="80" t="s">
        <v>125</v>
      </c>
      <c r="I71" s="189"/>
      <c r="J71" s="190"/>
      <c r="K71" s="189"/>
      <c r="L71" s="189"/>
      <c r="M71" s="183">
        <f>+M72</f>
        <v>0</v>
      </c>
    </row>
    <row r="72" spans="1:13" x14ac:dyDescent="0.2">
      <c r="A72" s="37">
        <v>9</v>
      </c>
      <c r="B72" s="189"/>
      <c r="C72" s="190"/>
      <c r="D72" s="189"/>
      <c r="E72" s="189"/>
      <c r="F72" s="189"/>
      <c r="G72" s="195"/>
      <c r="H72" s="80" t="s">
        <v>480</v>
      </c>
      <c r="I72" s="189"/>
      <c r="J72" s="190"/>
      <c r="K72" s="189"/>
      <c r="L72" s="189"/>
      <c r="M72" s="183">
        <v>0</v>
      </c>
    </row>
    <row r="73" spans="1:13" ht="25.5" x14ac:dyDescent="0.2">
      <c r="A73" s="37"/>
      <c r="B73" s="189"/>
      <c r="C73" s="190"/>
      <c r="D73" s="189"/>
      <c r="E73" s="189"/>
      <c r="F73" s="189"/>
      <c r="G73" s="195">
        <v>295993</v>
      </c>
      <c r="H73" s="80" t="s">
        <v>749</v>
      </c>
      <c r="I73" s="189"/>
      <c r="J73" s="190"/>
      <c r="K73" s="189"/>
      <c r="L73" s="189"/>
      <c r="M73" s="183">
        <f>+M74+M75</f>
        <v>249000000</v>
      </c>
    </row>
    <row r="74" spans="1:13" x14ac:dyDescent="0.2">
      <c r="A74" s="37"/>
      <c r="B74" s="189"/>
      <c r="C74" s="190"/>
      <c r="D74" s="189"/>
      <c r="E74" s="189"/>
      <c r="F74" s="189"/>
      <c r="G74" s="195"/>
      <c r="H74" s="80" t="s">
        <v>480</v>
      </c>
      <c r="I74" s="189"/>
      <c r="J74" s="190"/>
      <c r="K74" s="189"/>
      <c r="L74" s="189"/>
      <c r="M74" s="183">
        <f>199000000-99000000</f>
        <v>100000000</v>
      </c>
    </row>
    <row r="75" spans="1:13" x14ac:dyDescent="0.2">
      <c r="A75" s="37"/>
      <c r="B75" s="189"/>
      <c r="C75" s="190"/>
      <c r="D75" s="189"/>
      <c r="E75" s="189"/>
      <c r="F75" s="189"/>
      <c r="G75" s="195"/>
      <c r="H75" s="80" t="s">
        <v>835</v>
      </c>
      <c r="I75" s="189"/>
      <c r="J75" s="190"/>
      <c r="K75" s="189"/>
      <c r="L75" s="189"/>
      <c r="M75" s="183">
        <f>99000000+50000000</f>
        <v>149000000</v>
      </c>
    </row>
    <row r="76" spans="1:13" ht="38.25" x14ac:dyDescent="0.2">
      <c r="A76" s="37">
        <v>8</v>
      </c>
      <c r="B76" s="189"/>
      <c r="C76" s="190" t="s">
        <v>679</v>
      </c>
      <c r="D76" s="189"/>
      <c r="E76" s="189"/>
      <c r="F76" s="189"/>
      <c r="G76" s="195">
        <v>296016</v>
      </c>
      <c r="H76" s="80" t="s">
        <v>522</v>
      </c>
      <c r="I76" s="189"/>
      <c r="J76" s="190"/>
      <c r="K76" s="189"/>
      <c r="L76" s="189"/>
      <c r="M76" s="183">
        <f>+M77+M78</f>
        <v>500000000</v>
      </c>
    </row>
    <row r="77" spans="1:13" x14ac:dyDescent="0.2">
      <c r="A77" s="37">
        <v>9</v>
      </c>
      <c r="B77" s="189"/>
      <c r="C77" s="190"/>
      <c r="D77" s="189"/>
      <c r="E77" s="189"/>
      <c r="F77" s="189"/>
      <c r="G77" s="195"/>
      <c r="H77" s="80" t="s">
        <v>480</v>
      </c>
      <c r="I77" s="189"/>
      <c r="J77" s="190"/>
      <c r="K77" s="189"/>
      <c r="L77" s="189"/>
      <c r="M77" s="183">
        <f>300000000+150000000</f>
        <v>450000000</v>
      </c>
    </row>
    <row r="78" spans="1:13" x14ac:dyDescent="0.2">
      <c r="A78" s="37">
        <v>9</v>
      </c>
      <c r="B78" s="189"/>
      <c r="C78" s="190"/>
      <c r="D78" s="189"/>
      <c r="E78" s="189"/>
      <c r="F78" s="189"/>
      <c r="G78" s="195"/>
      <c r="H78" s="80" t="s">
        <v>835</v>
      </c>
      <c r="I78" s="189"/>
      <c r="J78" s="190"/>
      <c r="K78" s="189"/>
      <c r="L78" s="189"/>
      <c r="M78" s="183">
        <v>50000000</v>
      </c>
    </row>
    <row r="79" spans="1:13" ht="25.5" x14ac:dyDescent="0.2">
      <c r="A79" s="37">
        <v>6</v>
      </c>
      <c r="B79" s="189" t="s">
        <v>285</v>
      </c>
      <c r="C79" s="190"/>
      <c r="D79" s="189"/>
      <c r="E79" s="189"/>
      <c r="F79" s="189"/>
      <c r="G79" s="195"/>
      <c r="H79" s="173" t="s">
        <v>716</v>
      </c>
      <c r="I79" s="189"/>
      <c r="J79" s="190"/>
      <c r="K79" s="189"/>
      <c r="L79" s="189"/>
      <c r="M79" s="91">
        <f>+M84+M87+M89</f>
        <v>1448000000</v>
      </c>
    </row>
    <row r="80" spans="1:13" ht="38.25" x14ac:dyDescent="0.2">
      <c r="A80" s="37">
        <v>7</v>
      </c>
      <c r="B80" s="189"/>
      <c r="C80" s="190"/>
      <c r="D80" s="189" t="s">
        <v>191</v>
      </c>
      <c r="E80" s="196">
        <v>368</v>
      </c>
      <c r="F80" s="189" t="s">
        <v>319</v>
      </c>
      <c r="G80" s="195"/>
      <c r="H80" s="80" t="s">
        <v>671</v>
      </c>
      <c r="I80" s="196">
        <v>4</v>
      </c>
      <c r="J80" s="190" t="s">
        <v>670</v>
      </c>
      <c r="K80" s="196">
        <v>1</v>
      </c>
      <c r="L80" s="189" t="s">
        <v>301</v>
      </c>
      <c r="M80" s="194"/>
    </row>
    <row r="81" spans="1:13" ht="38.25" x14ac:dyDescent="0.2">
      <c r="A81" s="37">
        <v>7</v>
      </c>
      <c r="B81" s="189"/>
      <c r="C81" s="190"/>
      <c r="D81" s="189" t="s">
        <v>191</v>
      </c>
      <c r="E81" s="196">
        <v>369</v>
      </c>
      <c r="F81" s="189" t="s">
        <v>1080</v>
      </c>
      <c r="G81" s="195"/>
      <c r="H81" s="80" t="s">
        <v>436</v>
      </c>
      <c r="I81" s="196">
        <v>3</v>
      </c>
      <c r="J81" s="190" t="s">
        <v>1003</v>
      </c>
      <c r="K81" s="196">
        <v>0</v>
      </c>
      <c r="L81" s="189" t="s">
        <v>301</v>
      </c>
      <c r="M81" s="194"/>
    </row>
    <row r="82" spans="1:13" ht="25.5" x14ac:dyDescent="0.2">
      <c r="A82" s="37">
        <v>7</v>
      </c>
      <c r="B82" s="189"/>
      <c r="C82" s="190"/>
      <c r="D82" s="189" t="s">
        <v>191</v>
      </c>
      <c r="E82" s="196">
        <v>370</v>
      </c>
      <c r="F82" s="189" t="s">
        <v>1080</v>
      </c>
      <c r="G82" s="195"/>
      <c r="H82" s="80" t="s">
        <v>225</v>
      </c>
      <c r="I82" s="196">
        <v>116</v>
      </c>
      <c r="J82" s="190" t="s">
        <v>286</v>
      </c>
      <c r="K82" s="196">
        <v>116</v>
      </c>
      <c r="L82" s="189" t="s">
        <v>1330</v>
      </c>
      <c r="M82" s="194"/>
    </row>
    <row r="83" spans="1:13" ht="25.5" x14ac:dyDescent="0.2">
      <c r="A83" s="37"/>
      <c r="B83" s="189"/>
      <c r="C83" s="190"/>
      <c r="D83" s="189" t="s">
        <v>191</v>
      </c>
      <c r="E83" s="196">
        <v>372</v>
      </c>
      <c r="F83" s="189" t="s">
        <v>1080</v>
      </c>
      <c r="G83" s="195"/>
      <c r="H83" s="80" t="s">
        <v>1436</v>
      </c>
      <c r="I83" s="196">
        <v>116</v>
      </c>
      <c r="J83" s="190" t="s">
        <v>286</v>
      </c>
      <c r="K83" s="196">
        <v>116</v>
      </c>
      <c r="L83" s="189" t="s">
        <v>1330</v>
      </c>
      <c r="M83" s="194"/>
    </row>
    <row r="84" spans="1:13" ht="38.25" x14ac:dyDescent="0.2">
      <c r="A84" s="37">
        <v>8</v>
      </c>
      <c r="B84" s="189"/>
      <c r="C84" s="190" t="s">
        <v>679</v>
      </c>
      <c r="D84" s="189"/>
      <c r="E84" s="189"/>
      <c r="F84" s="189"/>
      <c r="G84" s="195">
        <v>295992</v>
      </c>
      <c r="H84" s="80" t="s">
        <v>905</v>
      </c>
      <c r="I84" s="189"/>
      <c r="J84" s="190"/>
      <c r="K84" s="189"/>
      <c r="L84" s="189"/>
      <c r="M84" s="183">
        <f>+M85+M86</f>
        <v>399000000</v>
      </c>
    </row>
    <row r="85" spans="1:13" x14ac:dyDescent="0.2">
      <c r="A85" s="37">
        <v>9</v>
      </c>
      <c r="B85" s="189"/>
      <c r="C85" s="190"/>
      <c r="D85" s="189"/>
      <c r="E85" s="189"/>
      <c r="F85" s="189"/>
      <c r="G85" s="195"/>
      <c r="H85" s="80" t="s">
        <v>480</v>
      </c>
      <c r="I85" s="189"/>
      <c r="J85" s="190"/>
      <c r="K85" s="189"/>
      <c r="L85" s="189"/>
      <c r="M85" s="183">
        <f>100000000+299000000-199000000-50000000</f>
        <v>150000000</v>
      </c>
    </row>
    <row r="86" spans="1:13" x14ac:dyDescent="0.2">
      <c r="A86" s="37"/>
      <c r="B86" s="189"/>
      <c r="C86" s="190"/>
      <c r="D86" s="189"/>
      <c r="E86" s="189"/>
      <c r="F86" s="189"/>
      <c r="G86" s="195"/>
      <c r="H86" s="80" t="s">
        <v>835</v>
      </c>
      <c r="I86" s="189"/>
      <c r="J86" s="190"/>
      <c r="K86" s="189"/>
      <c r="L86" s="189"/>
      <c r="M86" s="183">
        <f>199000000+50000000</f>
        <v>249000000</v>
      </c>
    </row>
    <row r="87" spans="1:13" ht="51" x14ac:dyDescent="0.2">
      <c r="A87" s="37">
        <v>8</v>
      </c>
      <c r="B87" s="189"/>
      <c r="C87" s="190" t="s">
        <v>679</v>
      </c>
      <c r="D87" s="189"/>
      <c r="E87" s="189"/>
      <c r="F87" s="189"/>
      <c r="G87" s="195">
        <v>295991</v>
      </c>
      <c r="H87" s="80" t="s">
        <v>616</v>
      </c>
      <c r="I87" s="189"/>
      <c r="J87" s="190"/>
      <c r="K87" s="189"/>
      <c r="L87" s="189"/>
      <c r="M87" s="183">
        <f>+M88</f>
        <v>216673296</v>
      </c>
    </row>
    <row r="88" spans="1:13" x14ac:dyDescent="0.2">
      <c r="A88" s="37">
        <v>9</v>
      </c>
      <c r="B88" s="189"/>
      <c r="C88" s="190"/>
      <c r="D88" s="189"/>
      <c r="E88" s="189"/>
      <c r="F88" s="189"/>
      <c r="G88" s="195"/>
      <c r="H88" s="80" t="s">
        <v>480</v>
      </c>
      <c r="I88" s="189"/>
      <c r="J88" s="190"/>
      <c r="K88" s="189"/>
      <c r="L88" s="189"/>
      <c r="M88" s="183">
        <f>699000000+250000000+100000000-832326704</f>
        <v>216673296</v>
      </c>
    </row>
    <row r="89" spans="1:13" ht="51" x14ac:dyDescent="0.2">
      <c r="A89" s="37"/>
      <c r="B89" s="189"/>
      <c r="C89" s="190" t="s">
        <v>1534</v>
      </c>
      <c r="D89" s="189"/>
      <c r="E89" s="189"/>
      <c r="F89" s="189"/>
      <c r="G89" s="195">
        <v>295991</v>
      </c>
      <c r="H89" s="80" t="s">
        <v>1533</v>
      </c>
      <c r="I89" s="189"/>
      <c r="J89" s="190"/>
      <c r="K89" s="189"/>
      <c r="L89" s="189"/>
      <c r="M89" s="183">
        <f>+M90</f>
        <v>832326704</v>
      </c>
    </row>
    <row r="90" spans="1:13" x14ac:dyDescent="0.2">
      <c r="A90" s="37"/>
      <c r="B90" s="189"/>
      <c r="C90" s="190"/>
      <c r="D90" s="189"/>
      <c r="E90" s="189"/>
      <c r="F90" s="189"/>
      <c r="G90" s="195"/>
      <c r="H90" s="80" t="s">
        <v>480</v>
      </c>
      <c r="I90" s="189"/>
      <c r="J90" s="190"/>
      <c r="K90" s="189"/>
      <c r="L90" s="189"/>
      <c r="M90" s="183">
        <v>832326704</v>
      </c>
    </row>
    <row r="91" spans="1:13" x14ac:dyDescent="0.2">
      <c r="A91" s="37">
        <v>9</v>
      </c>
      <c r="B91" s="189"/>
      <c r="C91" s="190"/>
      <c r="D91" s="189"/>
      <c r="E91" s="189"/>
      <c r="F91" s="189"/>
      <c r="G91" s="195"/>
      <c r="H91" s="80" t="s">
        <v>1115</v>
      </c>
      <c r="I91" s="189"/>
      <c r="J91" s="190"/>
      <c r="K91" s="189"/>
      <c r="L91" s="189"/>
      <c r="M91" s="183" t="s">
        <v>1115</v>
      </c>
    </row>
    <row r="92" spans="1:13" x14ac:dyDescent="0.2">
      <c r="A92" s="37"/>
      <c r="B92" s="189"/>
      <c r="C92" s="190"/>
      <c r="D92" s="189"/>
      <c r="E92" s="189"/>
      <c r="F92" s="189"/>
      <c r="G92" s="195"/>
      <c r="H92" s="80"/>
      <c r="I92" s="189"/>
      <c r="J92" s="190"/>
      <c r="K92" s="189"/>
      <c r="L92" s="189"/>
      <c r="M92" s="183"/>
    </row>
    <row r="93" spans="1:13" x14ac:dyDescent="0.2">
      <c r="A93" s="37">
        <v>4</v>
      </c>
      <c r="B93" s="189" t="s">
        <v>885</v>
      </c>
      <c r="C93" s="190"/>
      <c r="D93" s="189"/>
      <c r="E93" s="189"/>
      <c r="F93" s="189"/>
      <c r="G93" s="195"/>
      <c r="H93" s="173" t="s">
        <v>185</v>
      </c>
      <c r="I93" s="189"/>
      <c r="J93" s="190"/>
      <c r="K93" s="189"/>
      <c r="L93" s="189"/>
      <c r="M93" s="91">
        <f>+M95+M100+M108+M112+M119</f>
        <v>2181000000</v>
      </c>
    </row>
    <row r="94" spans="1:13" ht="25.5" x14ac:dyDescent="0.2">
      <c r="A94" s="37">
        <v>5</v>
      </c>
      <c r="B94" s="189"/>
      <c r="C94" s="190"/>
      <c r="D94" s="189"/>
      <c r="E94" s="196">
        <v>375</v>
      </c>
      <c r="F94" s="189" t="s">
        <v>268</v>
      </c>
      <c r="G94" s="195"/>
      <c r="H94" s="80" t="s">
        <v>868</v>
      </c>
      <c r="I94" s="196">
        <v>5115</v>
      </c>
      <c r="J94" s="190" t="s">
        <v>524</v>
      </c>
      <c r="K94" s="196">
        <v>1485</v>
      </c>
      <c r="L94" s="196">
        <v>1500</v>
      </c>
      <c r="M94" s="194"/>
    </row>
    <row r="95" spans="1:13" x14ac:dyDescent="0.2">
      <c r="A95" s="37">
        <v>6</v>
      </c>
      <c r="B95" s="189" t="s">
        <v>857</v>
      </c>
      <c r="C95" s="190"/>
      <c r="D95" s="189"/>
      <c r="E95" s="189"/>
      <c r="F95" s="189"/>
      <c r="G95" s="195"/>
      <c r="H95" s="173" t="s">
        <v>354</v>
      </c>
      <c r="I95" s="189"/>
      <c r="J95" s="190"/>
      <c r="K95" s="189"/>
      <c r="L95" s="189"/>
      <c r="M95" s="91">
        <f>+M98</f>
        <v>200000000</v>
      </c>
    </row>
    <row r="96" spans="1:13" ht="25.5" x14ac:dyDescent="0.2">
      <c r="A96" s="37">
        <v>7</v>
      </c>
      <c r="B96" s="189"/>
      <c r="C96" s="190"/>
      <c r="D96" s="189" t="s">
        <v>588</v>
      </c>
      <c r="E96" s="196">
        <v>376</v>
      </c>
      <c r="F96" s="189" t="s">
        <v>1080</v>
      </c>
      <c r="G96" s="195"/>
      <c r="H96" s="80" t="s">
        <v>512</v>
      </c>
      <c r="I96" s="196">
        <v>90</v>
      </c>
      <c r="J96" s="190" t="s">
        <v>195</v>
      </c>
      <c r="K96" s="196">
        <v>0</v>
      </c>
      <c r="L96" s="189" t="s">
        <v>1209</v>
      </c>
      <c r="M96" s="194"/>
    </row>
    <row r="97" spans="1:13" ht="25.5" x14ac:dyDescent="0.2">
      <c r="A97" s="37">
        <v>7</v>
      </c>
      <c r="B97" s="189"/>
      <c r="C97" s="190"/>
      <c r="D97" s="189" t="s">
        <v>588</v>
      </c>
      <c r="E97" s="196">
        <v>377</v>
      </c>
      <c r="F97" s="189" t="s">
        <v>1080</v>
      </c>
      <c r="G97" s="195"/>
      <c r="H97" s="80" t="s">
        <v>824</v>
      </c>
      <c r="I97" s="196">
        <v>600</v>
      </c>
      <c r="J97" s="190" t="s">
        <v>332</v>
      </c>
      <c r="K97" s="196">
        <v>0</v>
      </c>
      <c r="L97" s="189" t="s">
        <v>1284</v>
      </c>
      <c r="M97" s="194"/>
    </row>
    <row r="98" spans="1:13" ht="25.5" x14ac:dyDescent="0.2">
      <c r="A98" s="37">
        <v>8</v>
      </c>
      <c r="B98" s="189"/>
      <c r="C98" s="190" t="s">
        <v>679</v>
      </c>
      <c r="D98" s="189"/>
      <c r="E98" s="189"/>
      <c r="F98" s="189"/>
      <c r="G98" s="195">
        <v>295986</v>
      </c>
      <c r="H98" s="80" t="s">
        <v>904</v>
      </c>
      <c r="I98" s="189"/>
      <c r="J98" s="190"/>
      <c r="K98" s="189"/>
      <c r="L98" s="189"/>
      <c r="M98" s="183">
        <f>+M99</f>
        <v>200000000</v>
      </c>
    </row>
    <row r="99" spans="1:13" x14ac:dyDescent="0.2">
      <c r="A99" s="37">
        <v>9</v>
      </c>
      <c r="B99" s="189"/>
      <c r="C99" s="190"/>
      <c r="D99" s="189"/>
      <c r="E99" s="189"/>
      <c r="F99" s="189"/>
      <c r="G99" s="195"/>
      <c r="H99" s="80" t="s">
        <v>480</v>
      </c>
      <c r="I99" s="189"/>
      <c r="J99" s="190"/>
      <c r="K99" s="189"/>
      <c r="L99" s="189"/>
      <c r="M99" s="183">
        <f>100000000+100000000</f>
        <v>200000000</v>
      </c>
    </row>
    <row r="100" spans="1:13" x14ac:dyDescent="0.2">
      <c r="A100" s="37">
        <v>6</v>
      </c>
      <c r="B100" s="189" t="s">
        <v>497</v>
      </c>
      <c r="C100" s="190"/>
      <c r="D100" s="189"/>
      <c r="E100" s="189"/>
      <c r="F100" s="189"/>
      <c r="G100" s="195"/>
      <c r="H100" s="173" t="s">
        <v>901</v>
      </c>
      <c r="I100" s="189"/>
      <c r="J100" s="190"/>
      <c r="K100" s="189"/>
      <c r="L100" s="189"/>
      <c r="M100" s="91">
        <f>+M102+M105</f>
        <v>800000000</v>
      </c>
    </row>
    <row r="101" spans="1:13" ht="25.5" x14ac:dyDescent="0.2">
      <c r="A101" s="37">
        <v>7</v>
      </c>
      <c r="B101" s="189"/>
      <c r="C101" s="190"/>
      <c r="D101" s="189" t="s">
        <v>665</v>
      </c>
      <c r="E101" s="196">
        <v>378</v>
      </c>
      <c r="F101" s="189" t="s">
        <v>1080</v>
      </c>
      <c r="G101" s="195"/>
      <c r="H101" s="80" t="s">
        <v>447</v>
      </c>
      <c r="I101" s="196">
        <v>2025</v>
      </c>
      <c r="J101" s="190" t="s">
        <v>208</v>
      </c>
      <c r="K101" s="196" t="s">
        <v>1437</v>
      </c>
      <c r="L101" s="189" t="s">
        <v>1291</v>
      </c>
      <c r="M101" s="194"/>
    </row>
    <row r="102" spans="1:13" ht="25.5" x14ac:dyDescent="0.2">
      <c r="A102" s="37">
        <v>8</v>
      </c>
      <c r="B102" s="189"/>
      <c r="C102" s="190" t="s">
        <v>679</v>
      </c>
      <c r="D102" s="189"/>
      <c r="E102" s="189"/>
      <c r="F102" s="189"/>
      <c r="G102" s="195">
        <v>295986</v>
      </c>
      <c r="H102" s="80" t="s">
        <v>904</v>
      </c>
      <c r="I102" s="189"/>
      <c r="J102" s="190"/>
      <c r="K102" s="189"/>
      <c r="L102" s="189"/>
      <c r="M102" s="183">
        <f>+M103+M104</f>
        <v>120825184</v>
      </c>
    </row>
    <row r="103" spans="1:13" x14ac:dyDescent="0.2">
      <c r="A103" s="37">
        <v>9</v>
      </c>
      <c r="B103" s="189"/>
      <c r="C103" s="190"/>
      <c r="D103" s="189"/>
      <c r="E103" s="189"/>
      <c r="F103" s="189"/>
      <c r="G103" s="195"/>
      <c r="H103" s="80" t="s">
        <v>480</v>
      </c>
      <c r="I103" s="189"/>
      <c r="J103" s="190"/>
      <c r="K103" s="189"/>
      <c r="L103" s="189"/>
      <c r="M103" s="183">
        <f>500000000+250000000-679174816</f>
        <v>70825184</v>
      </c>
    </row>
    <row r="104" spans="1:13" x14ac:dyDescent="0.2">
      <c r="A104" s="37">
        <v>9</v>
      </c>
      <c r="B104" s="189"/>
      <c r="C104" s="190"/>
      <c r="D104" s="189"/>
      <c r="E104" s="189"/>
      <c r="F104" s="189"/>
      <c r="G104" s="195"/>
      <c r="H104" s="80" t="s">
        <v>835</v>
      </c>
      <c r="I104" s="189"/>
      <c r="J104" s="190"/>
      <c r="K104" s="189"/>
      <c r="L104" s="189"/>
      <c r="M104" s="183">
        <v>50000000</v>
      </c>
    </row>
    <row r="105" spans="1:13" ht="51" x14ac:dyDescent="0.2">
      <c r="A105" s="37"/>
      <c r="B105" s="189"/>
      <c r="C105" s="190" t="s">
        <v>1535</v>
      </c>
      <c r="D105" s="189"/>
      <c r="E105" s="189"/>
      <c r="F105" s="189"/>
      <c r="G105" s="195">
        <v>295986</v>
      </c>
      <c r="H105" s="80" t="s">
        <v>1536</v>
      </c>
      <c r="I105" s="189"/>
      <c r="J105" s="190"/>
      <c r="K105" s="189"/>
      <c r="L105" s="189"/>
      <c r="M105" s="183">
        <f>+M106</f>
        <v>679174816</v>
      </c>
    </row>
    <row r="106" spans="1:13" x14ac:dyDescent="0.2">
      <c r="A106" s="37"/>
      <c r="B106" s="189"/>
      <c r="C106" s="190"/>
      <c r="D106" s="189"/>
      <c r="E106" s="189"/>
      <c r="F106" s="189"/>
      <c r="G106" s="195"/>
      <c r="H106" s="80" t="s">
        <v>480</v>
      </c>
      <c r="I106" s="189"/>
      <c r="J106" s="190"/>
      <c r="K106" s="189"/>
      <c r="L106" s="189"/>
      <c r="M106" s="183">
        <v>679174816</v>
      </c>
    </row>
    <row r="107" spans="1:13" x14ac:dyDescent="0.2">
      <c r="A107" s="37"/>
      <c r="B107" s="189"/>
      <c r="C107" s="190"/>
      <c r="D107" s="189"/>
      <c r="E107" s="189"/>
      <c r="F107" s="189"/>
      <c r="G107" s="195"/>
      <c r="H107" s="80"/>
      <c r="I107" s="189"/>
      <c r="J107" s="190"/>
      <c r="K107" s="189"/>
      <c r="L107" s="189"/>
      <c r="M107" s="183"/>
    </row>
    <row r="108" spans="1:13" x14ac:dyDescent="0.2">
      <c r="A108" s="37">
        <v>6</v>
      </c>
      <c r="B108" s="189" t="s">
        <v>955</v>
      </c>
      <c r="C108" s="190"/>
      <c r="D108" s="189"/>
      <c r="E108" s="189"/>
      <c r="F108" s="189"/>
      <c r="G108" s="195"/>
      <c r="H108" s="173" t="s">
        <v>495</v>
      </c>
      <c r="I108" s="189"/>
      <c r="J108" s="190"/>
      <c r="K108" s="189"/>
      <c r="L108" s="189"/>
      <c r="M108" s="91">
        <f>+M110</f>
        <v>40000000</v>
      </c>
    </row>
    <row r="109" spans="1:13" ht="51" x14ac:dyDescent="0.2">
      <c r="A109" s="37">
        <v>7</v>
      </c>
      <c r="B109" s="189"/>
      <c r="C109" s="190"/>
      <c r="D109" s="189" t="s">
        <v>588</v>
      </c>
      <c r="E109" s="196">
        <v>379</v>
      </c>
      <c r="F109" s="189" t="s">
        <v>1080</v>
      </c>
      <c r="G109" s="195"/>
      <c r="H109" s="176" t="s">
        <v>563</v>
      </c>
      <c r="I109" s="196">
        <v>400</v>
      </c>
      <c r="J109" s="190" t="s">
        <v>195</v>
      </c>
      <c r="K109" s="196">
        <v>20</v>
      </c>
      <c r="L109" s="189" t="s">
        <v>1435</v>
      </c>
      <c r="M109" s="194"/>
    </row>
    <row r="110" spans="1:13" ht="25.5" x14ac:dyDescent="0.2">
      <c r="A110" s="37">
        <v>8</v>
      </c>
      <c r="B110" s="189"/>
      <c r="C110" s="190" t="s">
        <v>679</v>
      </c>
      <c r="D110" s="189"/>
      <c r="E110" s="189"/>
      <c r="F110" s="189"/>
      <c r="G110" s="195">
        <v>295973</v>
      </c>
      <c r="H110" s="80" t="s">
        <v>413</v>
      </c>
      <c r="I110" s="189"/>
      <c r="J110" s="190"/>
      <c r="K110" s="189"/>
      <c r="L110" s="189"/>
      <c r="M110" s="183">
        <f>+M111</f>
        <v>40000000</v>
      </c>
    </row>
    <row r="111" spans="1:13" x14ac:dyDescent="0.2">
      <c r="A111" s="37">
        <v>9</v>
      </c>
      <c r="B111" s="189"/>
      <c r="C111" s="190"/>
      <c r="D111" s="189"/>
      <c r="E111" s="189"/>
      <c r="F111" s="189"/>
      <c r="G111" s="195"/>
      <c r="H111" s="80" t="s">
        <v>480</v>
      </c>
      <c r="I111" s="189"/>
      <c r="J111" s="190"/>
      <c r="K111" s="189"/>
      <c r="L111" s="189"/>
      <c r="M111" s="183">
        <v>40000000</v>
      </c>
    </row>
    <row r="112" spans="1:13" x14ac:dyDescent="0.2">
      <c r="A112" s="37">
        <v>6</v>
      </c>
      <c r="B112" s="189" t="s">
        <v>285</v>
      </c>
      <c r="C112" s="190"/>
      <c r="D112" s="189"/>
      <c r="E112" s="189"/>
      <c r="F112" s="189"/>
      <c r="G112" s="195"/>
      <c r="H112" s="173" t="s">
        <v>855</v>
      </c>
      <c r="I112" s="189"/>
      <c r="J112" s="190"/>
      <c r="K112" s="189"/>
      <c r="L112" s="189"/>
      <c r="M112" s="91">
        <f>+M116</f>
        <v>820000000</v>
      </c>
    </row>
    <row r="113" spans="1:13" ht="25.5" x14ac:dyDescent="0.2">
      <c r="A113" s="37"/>
      <c r="B113" s="189"/>
      <c r="C113" s="190"/>
      <c r="D113" s="189" t="s">
        <v>588</v>
      </c>
      <c r="E113" s="196">
        <v>380</v>
      </c>
      <c r="F113" s="189" t="s">
        <v>1080</v>
      </c>
      <c r="G113" s="195"/>
      <c r="H113" s="80" t="s">
        <v>639</v>
      </c>
      <c r="I113" s="196">
        <v>5000</v>
      </c>
      <c r="J113" s="190" t="s">
        <v>524</v>
      </c>
      <c r="K113" s="196">
        <v>1582</v>
      </c>
      <c r="L113" s="196">
        <v>2000</v>
      </c>
      <c r="M113" s="91"/>
    </row>
    <row r="114" spans="1:13" ht="25.5" x14ac:dyDescent="0.2">
      <c r="A114" s="37">
        <v>7</v>
      </c>
      <c r="B114" s="189"/>
      <c r="C114" s="190"/>
      <c r="D114" s="189" t="s">
        <v>615</v>
      </c>
      <c r="E114" s="196">
        <v>381</v>
      </c>
      <c r="F114" s="189" t="s">
        <v>1080</v>
      </c>
      <c r="G114" s="195"/>
      <c r="H114" s="80" t="s">
        <v>594</v>
      </c>
      <c r="I114" s="196">
        <v>15</v>
      </c>
      <c r="J114" s="190" t="s">
        <v>401</v>
      </c>
      <c r="K114" s="196">
        <v>10</v>
      </c>
      <c r="L114" s="189" t="s">
        <v>841</v>
      </c>
      <c r="M114" s="194"/>
    </row>
    <row r="115" spans="1:13" x14ac:dyDescent="0.2">
      <c r="A115" s="37">
        <v>7</v>
      </c>
      <c r="B115" s="189"/>
      <c r="C115" s="190"/>
      <c r="D115" s="175"/>
      <c r="E115" s="175"/>
      <c r="F115" s="175"/>
      <c r="G115" s="175"/>
      <c r="H115" s="175"/>
      <c r="I115" s="175"/>
      <c r="J115" s="175"/>
      <c r="K115" s="175"/>
      <c r="L115" s="175"/>
      <c r="M115" s="194"/>
    </row>
    <row r="116" spans="1:13" ht="38.25" x14ac:dyDescent="0.2">
      <c r="A116" s="37">
        <v>8</v>
      </c>
      <c r="B116" s="189"/>
      <c r="C116" s="190" t="s">
        <v>679</v>
      </c>
      <c r="D116" s="189"/>
      <c r="E116" s="189"/>
      <c r="F116" s="189"/>
      <c r="G116" s="195">
        <v>295974</v>
      </c>
      <c r="H116" s="80" t="s">
        <v>643</v>
      </c>
      <c r="I116" s="189"/>
      <c r="J116" s="190"/>
      <c r="K116" s="189"/>
      <c r="L116" s="189"/>
      <c r="M116" s="183">
        <f>+M117+M118</f>
        <v>820000000</v>
      </c>
    </row>
    <row r="117" spans="1:13" x14ac:dyDescent="0.2">
      <c r="A117" s="37">
        <v>9</v>
      </c>
      <c r="B117" s="189"/>
      <c r="C117" s="190"/>
      <c r="D117" s="189"/>
      <c r="E117" s="189"/>
      <c r="F117" s="189"/>
      <c r="G117" s="195"/>
      <c r="H117" s="80" t="s">
        <v>480</v>
      </c>
      <c r="I117" s="189"/>
      <c r="J117" s="190"/>
      <c r="K117" s="189"/>
      <c r="L117" s="189"/>
      <c r="M117" s="183">
        <f>320000000+400000000-390000000</f>
        <v>330000000</v>
      </c>
    </row>
    <row r="118" spans="1:13" x14ac:dyDescent="0.2">
      <c r="A118" s="37">
        <v>9</v>
      </c>
      <c r="B118" s="189"/>
      <c r="C118" s="190"/>
      <c r="D118" s="189"/>
      <c r="E118" s="189"/>
      <c r="F118" s="189"/>
      <c r="G118" s="195"/>
      <c r="H118" s="80" t="s">
        <v>835</v>
      </c>
      <c r="I118" s="189"/>
      <c r="J118" s="190"/>
      <c r="K118" s="189"/>
      <c r="L118" s="189"/>
      <c r="M118" s="183">
        <f>390000000+100000000</f>
        <v>490000000</v>
      </c>
    </row>
    <row r="119" spans="1:13" ht="25.5" x14ac:dyDescent="0.2">
      <c r="A119" s="37">
        <v>6</v>
      </c>
      <c r="B119" s="189" t="s">
        <v>885</v>
      </c>
      <c r="C119" s="190"/>
      <c r="D119" s="189"/>
      <c r="E119" s="189"/>
      <c r="F119" s="189"/>
      <c r="G119" s="195"/>
      <c r="H119" s="173" t="s">
        <v>33</v>
      </c>
      <c r="I119" s="189"/>
      <c r="J119" s="190"/>
      <c r="K119" s="189"/>
      <c r="L119" s="189"/>
      <c r="M119" s="91">
        <f>+M124+M122</f>
        <v>321000000</v>
      </c>
    </row>
    <row r="120" spans="1:13" ht="38.25" x14ac:dyDescent="0.2">
      <c r="A120" s="37">
        <v>7</v>
      </c>
      <c r="B120" s="189"/>
      <c r="C120" s="190"/>
      <c r="D120" s="189" t="s">
        <v>588</v>
      </c>
      <c r="E120" s="196">
        <v>382</v>
      </c>
      <c r="F120" s="189" t="s">
        <v>1080</v>
      </c>
      <c r="G120" s="195"/>
      <c r="H120" s="80" t="s">
        <v>546</v>
      </c>
      <c r="I120" s="196">
        <v>35</v>
      </c>
      <c r="J120" s="190" t="s">
        <v>195</v>
      </c>
      <c r="K120" s="196">
        <v>18</v>
      </c>
      <c r="L120" s="189" t="s">
        <v>114</v>
      </c>
      <c r="M120" s="194"/>
    </row>
    <row r="121" spans="1:13" ht="56.25" customHeight="1" x14ac:dyDescent="0.2">
      <c r="A121" s="37"/>
      <c r="B121" s="189"/>
      <c r="C121" s="190"/>
      <c r="D121" s="189" t="s">
        <v>588</v>
      </c>
      <c r="E121" s="196">
        <v>383</v>
      </c>
      <c r="F121" s="189" t="s">
        <v>1080</v>
      </c>
      <c r="G121" s="195"/>
      <c r="H121" s="80" t="s">
        <v>1438</v>
      </c>
      <c r="I121" s="196">
        <v>116</v>
      </c>
      <c r="J121" s="190" t="s">
        <v>286</v>
      </c>
      <c r="K121" s="196">
        <v>116</v>
      </c>
      <c r="L121" s="189" t="s">
        <v>1330</v>
      </c>
      <c r="M121" s="194"/>
    </row>
    <row r="122" spans="1:13" ht="51" x14ac:dyDescent="0.2">
      <c r="A122" s="37"/>
      <c r="B122" s="189"/>
      <c r="C122" s="190"/>
      <c r="D122" s="189"/>
      <c r="E122" s="189"/>
      <c r="F122" s="189"/>
      <c r="G122" s="195">
        <v>295990</v>
      </c>
      <c r="H122" s="80" t="s">
        <v>1439</v>
      </c>
      <c r="I122" s="189"/>
      <c r="J122" s="190"/>
      <c r="K122" s="189"/>
      <c r="L122" s="189"/>
      <c r="M122" s="183">
        <f>+M123</f>
        <v>21000000</v>
      </c>
    </row>
    <row r="123" spans="1:13" x14ac:dyDescent="0.2">
      <c r="A123" s="37"/>
      <c r="B123" s="189"/>
      <c r="C123" s="190"/>
      <c r="D123" s="189"/>
      <c r="E123" s="189"/>
      <c r="F123" s="189"/>
      <c r="G123" s="195"/>
      <c r="H123" s="80" t="s">
        <v>480</v>
      </c>
      <c r="I123" s="189"/>
      <c r="J123" s="190"/>
      <c r="K123" s="189"/>
      <c r="L123" s="189"/>
      <c r="M123" s="183">
        <v>21000000</v>
      </c>
    </row>
    <row r="124" spans="1:13" ht="25.5" x14ac:dyDescent="0.2">
      <c r="A124" s="37"/>
      <c r="B124" s="189"/>
      <c r="C124" s="190"/>
      <c r="D124" s="189"/>
      <c r="E124" s="189"/>
      <c r="F124" s="189"/>
      <c r="G124" s="195">
        <v>295986</v>
      </c>
      <c r="H124" s="80" t="s">
        <v>904</v>
      </c>
      <c r="I124" s="189"/>
      <c r="J124" s="190"/>
      <c r="K124" s="189"/>
      <c r="L124" s="189"/>
      <c r="M124" s="183">
        <f>+M125</f>
        <v>300000000</v>
      </c>
    </row>
    <row r="125" spans="1:13" x14ac:dyDescent="0.2">
      <c r="A125" s="37"/>
      <c r="B125" s="189"/>
      <c r="C125" s="190"/>
      <c r="D125" s="189"/>
      <c r="E125" s="189"/>
      <c r="F125" s="189"/>
      <c r="G125" s="195"/>
      <c r="H125" s="80" t="s">
        <v>480</v>
      </c>
      <c r="I125" s="189"/>
      <c r="J125" s="190"/>
      <c r="K125" s="189"/>
      <c r="L125" s="189"/>
      <c r="M125" s="183">
        <v>300000000</v>
      </c>
    </row>
    <row r="126" spans="1:13" x14ac:dyDescent="0.2">
      <c r="A126" s="37"/>
      <c r="B126" s="189"/>
      <c r="C126" s="190"/>
      <c r="D126" s="189"/>
      <c r="E126" s="189"/>
      <c r="F126" s="189"/>
      <c r="G126" s="195"/>
      <c r="H126" s="80"/>
      <c r="I126" s="189"/>
      <c r="J126" s="190"/>
      <c r="K126" s="189"/>
      <c r="L126" s="189"/>
      <c r="M126" s="183"/>
    </row>
    <row r="127" spans="1:13" ht="25.5" x14ac:dyDescent="0.2">
      <c r="A127" s="37">
        <v>4</v>
      </c>
      <c r="B127" s="189" t="s">
        <v>1069</v>
      </c>
      <c r="C127" s="190"/>
      <c r="D127" s="189"/>
      <c r="E127" s="189"/>
      <c r="F127" s="189"/>
      <c r="G127" s="195"/>
      <c r="H127" s="173" t="s">
        <v>1032</v>
      </c>
      <c r="I127" s="189"/>
      <c r="J127" s="190"/>
      <c r="K127" s="189"/>
      <c r="L127" s="189"/>
      <c r="M127" s="91">
        <f>+M129</f>
        <v>350000000</v>
      </c>
    </row>
    <row r="128" spans="1:13" x14ac:dyDescent="0.2">
      <c r="A128" s="37">
        <v>5</v>
      </c>
      <c r="B128" s="189"/>
      <c r="C128" s="190"/>
      <c r="D128" s="189"/>
      <c r="E128" s="196">
        <v>397</v>
      </c>
      <c r="F128" s="189" t="s">
        <v>268</v>
      </c>
      <c r="G128" s="195"/>
      <c r="H128" s="80" t="s">
        <v>216</v>
      </c>
      <c r="I128" s="196">
        <v>7</v>
      </c>
      <c r="J128" s="190" t="s">
        <v>964</v>
      </c>
      <c r="K128" s="196"/>
      <c r="L128" s="189"/>
      <c r="M128" s="194"/>
    </row>
    <row r="129" spans="1:13" x14ac:dyDescent="0.2">
      <c r="A129" s="37">
        <v>6</v>
      </c>
      <c r="B129" s="189" t="s">
        <v>857</v>
      </c>
      <c r="C129" s="190"/>
      <c r="D129" s="189"/>
      <c r="E129" s="189"/>
      <c r="F129" s="189"/>
      <c r="G129" s="195"/>
      <c r="H129" s="173" t="s">
        <v>927</v>
      </c>
      <c r="I129" s="189"/>
      <c r="J129" s="190"/>
      <c r="K129" s="189"/>
      <c r="L129" s="189"/>
      <c r="M129" s="91">
        <f>+M131</f>
        <v>350000000</v>
      </c>
    </row>
    <row r="130" spans="1:13" ht="38.25" x14ac:dyDescent="0.2">
      <c r="A130" s="37">
        <v>7</v>
      </c>
      <c r="B130" s="189"/>
      <c r="C130" s="190"/>
      <c r="D130" s="189" t="s">
        <v>588</v>
      </c>
      <c r="E130" s="196">
        <v>401</v>
      </c>
      <c r="F130" s="189" t="s">
        <v>1080</v>
      </c>
      <c r="G130" s="195"/>
      <c r="H130" s="80" t="s">
        <v>290</v>
      </c>
      <c r="I130" s="196">
        <v>20</v>
      </c>
      <c r="J130" s="190" t="s">
        <v>440</v>
      </c>
      <c r="K130" s="196">
        <v>20</v>
      </c>
      <c r="L130" s="189" t="s">
        <v>1176</v>
      </c>
      <c r="M130" s="194"/>
    </row>
    <row r="131" spans="1:13" ht="26.45" customHeight="1" x14ac:dyDescent="0.2">
      <c r="A131" s="37">
        <v>8</v>
      </c>
      <c r="B131" s="189"/>
      <c r="C131" s="190" t="s">
        <v>679</v>
      </c>
      <c r="D131" s="189"/>
      <c r="E131" s="189"/>
      <c r="F131" s="189"/>
      <c r="G131" s="195">
        <v>295975</v>
      </c>
      <c r="H131" s="80" t="s">
        <v>1000</v>
      </c>
      <c r="I131" s="189"/>
      <c r="J131" s="190"/>
      <c r="K131" s="189"/>
      <c r="L131" s="189"/>
      <c r="M131" s="183">
        <f>+M132+M133</f>
        <v>350000000</v>
      </c>
    </row>
    <row r="132" spans="1:13" x14ac:dyDescent="0.2">
      <c r="A132" s="37">
        <v>9</v>
      </c>
      <c r="B132" s="52"/>
      <c r="C132" s="53"/>
      <c r="D132" s="52"/>
      <c r="E132" s="52"/>
      <c r="F132" s="52"/>
      <c r="G132" s="61"/>
      <c r="H132" s="46" t="s">
        <v>480</v>
      </c>
      <c r="I132" s="87"/>
      <c r="J132" s="88"/>
      <c r="K132" s="87"/>
      <c r="L132" s="87"/>
      <c r="M132" s="78">
        <f>450000000-250000000-103754000</f>
        <v>96246000</v>
      </c>
    </row>
    <row r="133" spans="1:13" x14ac:dyDescent="0.2">
      <c r="A133" s="37"/>
      <c r="B133" s="52"/>
      <c r="C133" s="53"/>
      <c r="D133" s="52"/>
      <c r="E133" s="52"/>
      <c r="F133" s="52"/>
      <c r="G133" s="61"/>
      <c r="H133" s="46" t="s">
        <v>835</v>
      </c>
      <c r="I133" s="87"/>
      <c r="J133" s="88"/>
      <c r="K133" s="87"/>
      <c r="L133" s="87"/>
      <c r="M133" s="78">
        <f>250000000+103754000-100000000</f>
        <v>253754000</v>
      </c>
    </row>
    <row r="134" spans="1:13" x14ac:dyDescent="0.2">
      <c r="A134" s="37"/>
      <c r="B134" s="52"/>
      <c r="C134" s="53"/>
      <c r="D134" s="52"/>
      <c r="E134" s="52"/>
      <c r="F134" s="52"/>
      <c r="G134" s="61"/>
      <c r="H134" s="46"/>
      <c r="I134" s="52"/>
      <c r="J134" s="53"/>
      <c r="K134" s="52"/>
      <c r="L134" s="52"/>
      <c r="M134" s="37"/>
    </row>
    <row r="135" spans="1:13" ht="15" x14ac:dyDescent="0.25">
      <c r="A135" s="37">
        <v>10</v>
      </c>
      <c r="B135" s="52"/>
      <c r="C135" s="53"/>
      <c r="D135" s="52"/>
      <c r="E135" s="52"/>
      <c r="F135" s="52"/>
      <c r="G135" s="61"/>
      <c r="H135" s="180" t="s">
        <v>116</v>
      </c>
      <c r="I135" s="59"/>
      <c r="J135" s="58"/>
      <c r="K135" s="59"/>
      <c r="L135" s="59"/>
      <c r="M135" s="64">
        <f>+M9+M20</f>
        <v>9770249000</v>
      </c>
    </row>
    <row r="136" spans="1:13" x14ac:dyDescent="0.2">
      <c r="A136" s="37"/>
      <c r="B136" s="52"/>
      <c r="C136" s="53"/>
      <c r="D136" s="52"/>
      <c r="E136" s="52"/>
      <c r="F136" s="52"/>
      <c r="G136" s="61"/>
      <c r="H136" s="46"/>
      <c r="I136" s="52"/>
      <c r="J136" s="53"/>
      <c r="K136" s="52"/>
      <c r="L136" s="52"/>
      <c r="M136" s="37"/>
    </row>
    <row r="137" spans="1:13" x14ac:dyDescent="0.2">
      <c r="A137" s="37"/>
      <c r="B137" s="52"/>
      <c r="C137" s="53"/>
      <c r="D137" s="52"/>
      <c r="E137" s="52"/>
      <c r="F137" s="52"/>
      <c r="G137" s="61"/>
      <c r="H137" s="46"/>
      <c r="I137" s="52"/>
      <c r="J137" s="53"/>
      <c r="K137" s="52"/>
      <c r="L137" s="52"/>
      <c r="M137" s="37"/>
    </row>
    <row r="138" spans="1:13" x14ac:dyDescent="0.2">
      <c r="A138" s="37"/>
      <c r="B138" s="52"/>
      <c r="C138" s="53"/>
      <c r="D138" s="52"/>
      <c r="E138" s="52"/>
      <c r="F138" s="52"/>
      <c r="G138" s="61"/>
      <c r="H138" s="46"/>
      <c r="I138" s="52"/>
      <c r="J138" s="53"/>
      <c r="K138" s="52"/>
      <c r="L138" s="52"/>
      <c r="M138" s="37"/>
    </row>
    <row r="139" spans="1:13" x14ac:dyDescent="0.2">
      <c r="A139" s="37"/>
      <c r="B139" s="52"/>
      <c r="C139" s="53"/>
      <c r="D139" s="52"/>
      <c r="E139" s="52"/>
      <c r="F139" s="52"/>
      <c r="G139" s="61"/>
      <c r="H139" s="46"/>
      <c r="I139" s="52"/>
      <c r="J139" s="53"/>
      <c r="K139" s="52"/>
      <c r="L139" s="52"/>
      <c r="M139" s="37"/>
    </row>
  </sheetData>
  <mergeCells count="1">
    <mergeCell ref="B2:M2"/>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39"/>
  <sheetViews>
    <sheetView topLeftCell="B26" zoomScale="80" zoomScaleNormal="80" workbookViewId="0">
      <selection activeCell="B41" sqref="B41:K96"/>
    </sheetView>
  </sheetViews>
  <sheetFormatPr baseColWidth="10" defaultColWidth="9.140625" defaultRowHeight="12.75" x14ac:dyDescent="0.2"/>
  <cols>
    <col min="1" max="1" width="13.42578125" hidden="1" customWidth="1"/>
    <col min="2" max="2" width="9.42578125" style="4" customWidth="1"/>
    <col min="3" max="3" width="18" style="3" customWidth="1"/>
    <col min="4" max="4" width="8.28515625" style="4" customWidth="1"/>
    <col min="5" max="5" width="9.140625" style="4"/>
    <col min="6" max="6" width="12.85546875" style="4" customWidth="1"/>
    <col min="7" max="7" width="10" style="4" customWidth="1"/>
    <col min="8" max="8" width="69.140625" style="2" customWidth="1"/>
    <col min="9" max="9" width="11.7109375" style="4" customWidth="1"/>
    <col min="10" max="10" width="16.28515625" style="3" customWidth="1"/>
    <col min="11" max="11" width="16" style="4" customWidth="1"/>
    <col min="12" max="12" width="11" style="4" customWidth="1"/>
    <col min="13" max="13" width="20.28515625" customWidth="1"/>
  </cols>
  <sheetData>
    <row r="1" spans="1:139" x14ac:dyDescent="0.2">
      <c r="B1" s="69"/>
      <c r="C1" s="70"/>
      <c r="D1" s="69"/>
      <c r="E1" s="69"/>
      <c r="F1" s="69"/>
      <c r="G1" s="69"/>
      <c r="H1" s="36"/>
      <c r="I1" s="69"/>
      <c r="J1" s="70"/>
      <c r="K1" s="69"/>
      <c r="L1" s="69"/>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row>
    <row r="2" spans="1:139" ht="24" customHeight="1" x14ac:dyDescent="0.2">
      <c r="B2" s="187" t="s">
        <v>1103</v>
      </c>
      <c r="C2" s="187"/>
      <c r="D2" s="187"/>
      <c r="E2" s="187"/>
      <c r="F2" s="187"/>
      <c r="G2" s="187"/>
      <c r="H2" s="187"/>
      <c r="I2" s="187"/>
      <c r="J2" s="187"/>
      <c r="K2" s="187"/>
      <c r="L2" s="187"/>
      <c r="M2" s="187"/>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row>
    <row r="3" spans="1:139" x14ac:dyDescent="0.2">
      <c r="B3" s="69"/>
      <c r="C3" s="70"/>
      <c r="D3" s="69"/>
      <c r="E3" s="69"/>
      <c r="F3" s="69"/>
      <c r="G3" s="69"/>
      <c r="H3" s="36"/>
      <c r="I3" s="69"/>
      <c r="J3" s="70"/>
      <c r="K3" s="69"/>
      <c r="L3" s="69"/>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row>
    <row r="4" spans="1:139" s="7" customFormat="1" ht="38.25" x14ac:dyDescent="0.2">
      <c r="A4" s="7" t="s">
        <v>641</v>
      </c>
      <c r="B4" s="71" t="s">
        <v>1100</v>
      </c>
      <c r="C4" s="71" t="s">
        <v>1092</v>
      </c>
      <c r="D4" s="184" t="s">
        <v>1091</v>
      </c>
      <c r="E4" s="71" t="s">
        <v>1097</v>
      </c>
      <c r="F4" s="184" t="s">
        <v>1098</v>
      </c>
      <c r="G4" s="184" t="s">
        <v>1093</v>
      </c>
      <c r="H4" s="71" t="s">
        <v>409</v>
      </c>
      <c r="I4" s="71" t="s">
        <v>1094</v>
      </c>
      <c r="J4" s="71" t="s">
        <v>1095</v>
      </c>
      <c r="K4" s="71" t="s">
        <v>1104</v>
      </c>
      <c r="L4" s="71" t="s">
        <v>1096</v>
      </c>
      <c r="M4" s="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3"/>
      <c r="EC4" s="33"/>
      <c r="ED4" s="33"/>
      <c r="EE4" s="33"/>
      <c r="EF4" s="33"/>
      <c r="EG4" s="33"/>
      <c r="EH4" s="33"/>
      <c r="EI4" s="33"/>
    </row>
    <row r="5" spans="1:139" x14ac:dyDescent="0.2">
      <c r="B5" s="69"/>
      <c r="C5" s="70"/>
      <c r="D5" s="69"/>
      <c r="E5" s="69"/>
      <c r="F5" s="69"/>
      <c r="G5" s="69"/>
      <c r="H5" s="36"/>
      <c r="I5" s="69"/>
      <c r="J5" s="70"/>
      <c r="K5" s="69"/>
      <c r="L5" s="69"/>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row>
    <row r="6" spans="1:139" x14ac:dyDescent="0.2">
      <c r="A6" s="1"/>
      <c r="B6" s="52"/>
      <c r="C6" s="53"/>
      <c r="D6" s="52"/>
      <c r="E6" s="52"/>
      <c r="F6" s="52"/>
      <c r="G6" s="61"/>
      <c r="H6" s="42"/>
      <c r="I6" s="52"/>
      <c r="J6" s="53"/>
      <c r="K6" s="52"/>
      <c r="L6" s="52"/>
      <c r="M6" s="37"/>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row>
    <row r="7" spans="1:139" ht="15.75" x14ac:dyDescent="0.2">
      <c r="A7" s="1">
        <v>0</v>
      </c>
      <c r="B7" s="52"/>
      <c r="C7" s="53"/>
      <c r="D7" s="52"/>
      <c r="E7" s="52"/>
      <c r="F7" s="52"/>
      <c r="G7" s="61"/>
      <c r="H7" s="51" t="s">
        <v>559</v>
      </c>
      <c r="I7" s="52"/>
      <c r="J7" s="53"/>
      <c r="K7" s="52"/>
      <c r="L7" s="52"/>
      <c r="M7" s="54"/>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row>
    <row r="8" spans="1:139" ht="15.75" x14ac:dyDescent="0.2">
      <c r="A8" s="1">
        <v>1</v>
      </c>
      <c r="B8" s="52"/>
      <c r="C8" s="53"/>
      <c r="D8" s="52"/>
      <c r="E8" s="52"/>
      <c r="F8" s="52"/>
      <c r="G8" s="61"/>
      <c r="H8" s="51" t="s">
        <v>891</v>
      </c>
      <c r="I8" s="52"/>
      <c r="J8" s="53"/>
      <c r="K8" s="52"/>
      <c r="L8" s="52"/>
      <c r="M8" s="54"/>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row>
    <row r="9" spans="1:139" x14ac:dyDescent="0.2">
      <c r="A9" s="1">
        <v>2</v>
      </c>
      <c r="B9" s="52"/>
      <c r="C9" s="53"/>
      <c r="D9" s="52"/>
      <c r="E9" s="52"/>
      <c r="F9" s="52"/>
      <c r="G9" s="61"/>
      <c r="H9" s="42"/>
      <c r="I9" s="52"/>
      <c r="J9" s="53"/>
      <c r="K9" s="52"/>
      <c r="L9" s="52"/>
      <c r="M9" s="54"/>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row>
    <row r="10" spans="1:139" x14ac:dyDescent="0.2">
      <c r="A10" s="1">
        <v>3</v>
      </c>
      <c r="B10" s="52" t="s">
        <v>422</v>
      </c>
      <c r="C10" s="53"/>
      <c r="D10" s="52"/>
      <c r="E10" s="52"/>
      <c r="F10" s="52"/>
      <c r="G10" s="61"/>
      <c r="H10" s="56" t="s">
        <v>381</v>
      </c>
      <c r="I10" s="52"/>
      <c r="J10" s="53"/>
      <c r="K10" s="52"/>
      <c r="L10" s="52"/>
      <c r="M10" s="38">
        <f>+M11</f>
        <v>3110000000</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row>
    <row r="11" spans="1:139" ht="25.5" x14ac:dyDescent="0.2">
      <c r="A11" s="1">
        <v>4</v>
      </c>
      <c r="B11" s="52" t="s">
        <v>885</v>
      </c>
      <c r="C11" s="53"/>
      <c r="D11" s="52"/>
      <c r="E11" s="52"/>
      <c r="F11" s="52"/>
      <c r="G11" s="61"/>
      <c r="H11" s="56" t="s">
        <v>638</v>
      </c>
      <c r="I11" s="52"/>
      <c r="J11" s="53"/>
      <c r="K11" s="52"/>
      <c r="L11" s="52"/>
      <c r="M11" s="38">
        <f>+M13+M23+M28+M32</f>
        <v>3110000000</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row>
    <row r="12" spans="1:139" ht="25.5" x14ac:dyDescent="0.2">
      <c r="A12" s="1">
        <v>5</v>
      </c>
      <c r="B12" s="52"/>
      <c r="C12" s="53"/>
      <c r="D12" s="52"/>
      <c r="E12" s="55">
        <v>468</v>
      </c>
      <c r="F12" s="52" t="s">
        <v>268</v>
      </c>
      <c r="G12" s="61"/>
      <c r="H12" s="42" t="s">
        <v>985</v>
      </c>
      <c r="I12" s="55">
        <v>1</v>
      </c>
      <c r="J12" s="53" t="s">
        <v>696</v>
      </c>
      <c r="K12" s="55"/>
      <c r="L12" s="52"/>
      <c r="M12" s="54"/>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row>
    <row r="13" spans="1:139" x14ac:dyDescent="0.2">
      <c r="A13" s="1">
        <v>6</v>
      </c>
      <c r="B13" s="52" t="s">
        <v>857</v>
      </c>
      <c r="C13" s="53"/>
      <c r="D13" s="52"/>
      <c r="E13" s="52"/>
      <c r="F13" s="52"/>
      <c r="G13" s="61"/>
      <c r="H13" s="56" t="s">
        <v>336</v>
      </c>
      <c r="I13" s="52"/>
      <c r="J13" s="53"/>
      <c r="K13" s="52"/>
      <c r="L13" s="52"/>
      <c r="M13" s="38">
        <f>+M21</f>
        <v>2150000000</v>
      </c>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row>
    <row r="14" spans="1:139" ht="38.25" x14ac:dyDescent="0.2">
      <c r="A14" s="1"/>
      <c r="B14" s="52"/>
      <c r="C14" s="53"/>
      <c r="D14" s="52" t="s">
        <v>63</v>
      </c>
      <c r="E14" s="55">
        <v>469</v>
      </c>
      <c r="F14" s="52" t="s">
        <v>1080</v>
      </c>
      <c r="G14" s="61"/>
      <c r="H14" s="42" t="s">
        <v>442</v>
      </c>
      <c r="I14" s="55">
        <v>2</v>
      </c>
      <c r="J14" s="53" t="s">
        <v>539</v>
      </c>
      <c r="K14" s="55" t="s">
        <v>1301</v>
      </c>
      <c r="L14" s="52" t="s">
        <v>1296</v>
      </c>
      <c r="M14" s="38"/>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row>
    <row r="15" spans="1:139" ht="63.75" x14ac:dyDescent="0.2">
      <c r="A15" s="1"/>
      <c r="B15" s="52"/>
      <c r="C15" s="53"/>
      <c r="D15" s="52" t="s">
        <v>63</v>
      </c>
      <c r="E15" s="55">
        <v>470</v>
      </c>
      <c r="F15" s="52" t="s">
        <v>319</v>
      </c>
      <c r="G15" s="61"/>
      <c r="H15" s="74" t="s">
        <v>704</v>
      </c>
      <c r="I15" s="55">
        <v>3</v>
      </c>
      <c r="J15" s="53" t="s">
        <v>541</v>
      </c>
      <c r="K15" s="55">
        <v>1</v>
      </c>
      <c r="L15" s="52" t="s">
        <v>301</v>
      </c>
      <c r="M15" s="38"/>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row>
    <row r="16" spans="1:139" ht="25.5" x14ac:dyDescent="0.2">
      <c r="A16" s="1"/>
      <c r="B16" s="52"/>
      <c r="C16" s="53"/>
      <c r="D16" s="52" t="s">
        <v>63</v>
      </c>
      <c r="E16" s="55">
        <v>471</v>
      </c>
      <c r="F16" s="52" t="s">
        <v>1080</v>
      </c>
      <c r="G16" s="61"/>
      <c r="H16" s="42" t="s">
        <v>807</v>
      </c>
      <c r="I16" s="55">
        <v>2</v>
      </c>
      <c r="J16" s="53" t="s">
        <v>348</v>
      </c>
      <c r="K16" s="55" t="s">
        <v>1299</v>
      </c>
      <c r="L16" s="52" t="s">
        <v>301</v>
      </c>
      <c r="M16" s="38"/>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row>
    <row r="17" spans="1:139" ht="38.25" x14ac:dyDescent="0.2">
      <c r="A17" s="1">
        <v>7</v>
      </c>
      <c r="B17" s="52"/>
      <c r="C17" s="53"/>
      <c r="D17" s="52" t="s">
        <v>63</v>
      </c>
      <c r="E17" s="55">
        <v>473</v>
      </c>
      <c r="F17" s="52" t="s">
        <v>319</v>
      </c>
      <c r="G17" s="61"/>
      <c r="H17" s="42" t="s">
        <v>844</v>
      </c>
      <c r="I17" s="55">
        <v>2</v>
      </c>
      <c r="J17" s="53" t="s">
        <v>898</v>
      </c>
      <c r="K17" s="52">
        <v>0.33</v>
      </c>
      <c r="L17" s="52" t="s">
        <v>301</v>
      </c>
      <c r="M17" s="54"/>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row>
    <row r="18" spans="1:139" ht="51" x14ac:dyDescent="0.2">
      <c r="A18" s="1">
        <v>7</v>
      </c>
      <c r="B18" s="52"/>
      <c r="C18" s="53"/>
      <c r="D18" s="52" t="s">
        <v>63</v>
      </c>
      <c r="E18" s="55">
        <v>474</v>
      </c>
      <c r="F18" s="52" t="s">
        <v>319</v>
      </c>
      <c r="G18" s="61"/>
      <c r="H18" s="74" t="s">
        <v>712</v>
      </c>
      <c r="I18" s="55">
        <v>1</v>
      </c>
      <c r="J18" s="53" t="s">
        <v>714</v>
      </c>
      <c r="K18" s="55" t="s">
        <v>1297</v>
      </c>
      <c r="L18" s="52" t="s">
        <v>1298</v>
      </c>
      <c r="M18" s="54"/>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row>
    <row r="19" spans="1:139" ht="38.25" x14ac:dyDescent="0.2">
      <c r="A19" s="1">
        <v>7</v>
      </c>
      <c r="B19" s="52"/>
      <c r="C19" s="53"/>
      <c r="D19" s="52" t="s">
        <v>63</v>
      </c>
      <c r="E19" s="55">
        <v>475</v>
      </c>
      <c r="F19" s="52" t="s">
        <v>1080</v>
      </c>
      <c r="G19" s="61"/>
      <c r="H19" s="42" t="s">
        <v>580</v>
      </c>
      <c r="I19" s="55">
        <v>4</v>
      </c>
      <c r="J19" s="53" t="s">
        <v>79</v>
      </c>
      <c r="K19" s="55" t="s">
        <v>1300</v>
      </c>
      <c r="L19" s="52" t="s">
        <v>301</v>
      </c>
      <c r="M19" s="54"/>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row>
    <row r="20" spans="1:139" ht="25.5" x14ac:dyDescent="0.2">
      <c r="A20" s="1">
        <v>7</v>
      </c>
      <c r="B20" s="52"/>
      <c r="C20" s="53"/>
      <c r="D20" s="52" t="s">
        <v>63</v>
      </c>
      <c r="E20" s="55">
        <v>477</v>
      </c>
      <c r="F20" s="52" t="s">
        <v>1080</v>
      </c>
      <c r="G20" s="61"/>
      <c r="H20" s="42" t="s">
        <v>261</v>
      </c>
      <c r="I20" s="55">
        <v>3</v>
      </c>
      <c r="J20" s="53" t="s">
        <v>900</v>
      </c>
      <c r="K20" s="55">
        <v>0</v>
      </c>
      <c r="L20" s="52" t="s">
        <v>301</v>
      </c>
      <c r="M20" s="54"/>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row>
    <row r="21" spans="1:139" ht="25.5" x14ac:dyDescent="0.2">
      <c r="A21" s="1">
        <v>8</v>
      </c>
      <c r="B21" s="52"/>
      <c r="C21" s="53" t="s">
        <v>10</v>
      </c>
      <c r="D21" s="52"/>
      <c r="E21" s="52"/>
      <c r="F21" s="52"/>
      <c r="G21" s="61">
        <v>296035</v>
      </c>
      <c r="H21" s="42" t="s">
        <v>558</v>
      </c>
      <c r="I21" s="52"/>
      <c r="J21" s="53"/>
      <c r="K21" s="52"/>
      <c r="L21" s="52"/>
      <c r="M21" s="37">
        <f>+M22</f>
        <v>2150000000</v>
      </c>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row>
    <row r="22" spans="1:139" x14ac:dyDescent="0.2">
      <c r="A22" s="1">
        <v>9</v>
      </c>
      <c r="B22" s="52"/>
      <c r="C22" s="53"/>
      <c r="D22" s="52"/>
      <c r="E22" s="52"/>
      <c r="F22" s="52"/>
      <c r="G22" s="61"/>
      <c r="H22" s="42" t="s">
        <v>835</v>
      </c>
      <c r="I22" s="52"/>
      <c r="J22" s="53"/>
      <c r="K22" s="52"/>
      <c r="L22" s="52"/>
      <c r="M22" s="37">
        <f>90000000+1775000000+30000000+150000000+90000000+75000000+110000000+60000000-75000000-30000000-25000000-100000000</f>
        <v>2150000000</v>
      </c>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row>
    <row r="23" spans="1:139" x14ac:dyDescent="0.2">
      <c r="A23" s="1">
        <v>6</v>
      </c>
      <c r="B23" s="52" t="s">
        <v>497</v>
      </c>
      <c r="C23" s="53"/>
      <c r="D23" s="52"/>
      <c r="E23" s="52"/>
      <c r="F23" s="52"/>
      <c r="G23" s="61"/>
      <c r="H23" s="56" t="s">
        <v>279</v>
      </c>
      <c r="I23" s="52"/>
      <c r="J23" s="53"/>
      <c r="K23" s="52"/>
      <c r="L23" s="52"/>
      <c r="M23" s="38">
        <f>+M26</f>
        <v>750000000</v>
      </c>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row>
    <row r="24" spans="1:139" ht="38.25" x14ac:dyDescent="0.2">
      <c r="A24" s="1">
        <v>7</v>
      </c>
      <c r="B24" s="52"/>
      <c r="C24" s="53"/>
      <c r="D24" s="52" t="s">
        <v>63</v>
      </c>
      <c r="E24" s="55">
        <v>479</v>
      </c>
      <c r="F24" s="52" t="s">
        <v>319</v>
      </c>
      <c r="G24" s="61"/>
      <c r="H24" s="42" t="s">
        <v>324</v>
      </c>
      <c r="I24" s="55">
        <v>1</v>
      </c>
      <c r="J24" s="53" t="s">
        <v>800</v>
      </c>
      <c r="K24" s="55" t="s">
        <v>1302</v>
      </c>
      <c r="L24" s="52" t="s">
        <v>1193</v>
      </c>
      <c r="M24" s="54"/>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row>
    <row r="25" spans="1:139" ht="25.5" x14ac:dyDescent="0.2">
      <c r="A25" s="1">
        <v>7</v>
      </c>
      <c r="B25" s="52"/>
      <c r="C25" s="53"/>
      <c r="D25" s="52" t="s">
        <v>63</v>
      </c>
      <c r="E25" s="55">
        <v>480</v>
      </c>
      <c r="F25" s="52" t="s">
        <v>319</v>
      </c>
      <c r="G25" s="61"/>
      <c r="H25" s="42" t="s">
        <v>780</v>
      </c>
      <c r="I25" s="55">
        <v>4</v>
      </c>
      <c r="J25" s="53" t="s">
        <v>618</v>
      </c>
      <c r="K25" s="55" t="s">
        <v>1186</v>
      </c>
      <c r="L25" s="52" t="s">
        <v>841</v>
      </c>
      <c r="M25" s="54"/>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row>
    <row r="26" spans="1:139" ht="51" x14ac:dyDescent="0.2">
      <c r="A26" s="1">
        <v>8</v>
      </c>
      <c r="B26" s="52"/>
      <c r="C26" s="53" t="s">
        <v>1159</v>
      </c>
      <c r="D26" s="52"/>
      <c r="E26" s="52"/>
      <c r="F26" s="52"/>
      <c r="G26" s="61">
        <v>296087</v>
      </c>
      <c r="H26" s="42" t="s">
        <v>1194</v>
      </c>
      <c r="I26" s="52"/>
      <c r="J26" s="53"/>
      <c r="K26" s="52"/>
      <c r="L26" s="52"/>
      <c r="M26" s="37">
        <f>+M27</f>
        <v>750000000</v>
      </c>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row>
    <row r="27" spans="1:139" x14ac:dyDescent="0.2">
      <c r="A27" s="1">
        <v>9</v>
      </c>
      <c r="B27" s="52"/>
      <c r="C27" s="53"/>
      <c r="D27" s="52"/>
      <c r="E27" s="52"/>
      <c r="F27" s="52"/>
      <c r="G27" s="61"/>
      <c r="H27" s="42" t="s">
        <v>835</v>
      </c>
      <c r="I27" s="52"/>
      <c r="J27" s="53"/>
      <c r="K27" s="52"/>
      <c r="L27" s="52"/>
      <c r="M27" s="37">
        <v>750000000</v>
      </c>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row>
    <row r="28" spans="1:139" x14ac:dyDescent="0.2">
      <c r="A28" s="1">
        <v>6</v>
      </c>
      <c r="B28" s="52" t="s">
        <v>955</v>
      </c>
      <c r="C28" s="53"/>
      <c r="D28" s="52"/>
      <c r="E28" s="52"/>
      <c r="F28" s="52"/>
      <c r="G28" s="61"/>
      <c r="H28" s="56" t="s">
        <v>1045</v>
      </c>
      <c r="I28" s="52"/>
      <c r="J28" s="53"/>
      <c r="K28" s="52"/>
      <c r="L28" s="52"/>
      <c r="M28" s="38">
        <f>+M30</f>
        <v>90000000</v>
      </c>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row>
    <row r="29" spans="1:139" ht="38.25" x14ac:dyDescent="0.2">
      <c r="A29" s="1">
        <v>7</v>
      </c>
      <c r="B29" s="52"/>
      <c r="C29" s="53"/>
      <c r="D29" s="52" t="s">
        <v>63</v>
      </c>
      <c r="E29" s="55">
        <v>481</v>
      </c>
      <c r="F29" s="52" t="s">
        <v>1080</v>
      </c>
      <c r="G29" s="61"/>
      <c r="H29" s="42" t="s">
        <v>260</v>
      </c>
      <c r="I29" s="55">
        <v>1</v>
      </c>
      <c r="J29" s="53" t="s">
        <v>211</v>
      </c>
      <c r="K29" s="55" t="s">
        <v>1203</v>
      </c>
      <c r="L29" s="52" t="s">
        <v>1303</v>
      </c>
      <c r="M29" s="54"/>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row>
    <row r="30" spans="1:139" ht="25.5" x14ac:dyDescent="0.2">
      <c r="A30" s="1">
        <v>8</v>
      </c>
      <c r="B30" s="52"/>
      <c r="C30" s="53" t="s">
        <v>10</v>
      </c>
      <c r="D30" s="52"/>
      <c r="E30" s="52"/>
      <c r="F30" s="52"/>
      <c r="G30" s="61">
        <v>296036</v>
      </c>
      <c r="H30" s="42" t="s">
        <v>545</v>
      </c>
      <c r="I30" s="52"/>
      <c r="J30" s="53"/>
      <c r="K30" s="52"/>
      <c r="L30" s="52"/>
      <c r="M30" s="37">
        <f>+M31</f>
        <v>90000000</v>
      </c>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row>
    <row r="31" spans="1:139" x14ac:dyDescent="0.2">
      <c r="A31" s="1">
        <v>9</v>
      </c>
      <c r="B31" s="52"/>
      <c r="C31" s="53"/>
      <c r="D31" s="52"/>
      <c r="E31" s="52"/>
      <c r="F31" s="52"/>
      <c r="G31" s="61"/>
      <c r="H31" s="42" t="s">
        <v>835</v>
      </c>
      <c r="I31" s="52"/>
      <c r="J31" s="53"/>
      <c r="K31" s="52"/>
      <c r="L31" s="52"/>
      <c r="M31" s="37">
        <v>90000000</v>
      </c>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row>
    <row r="32" spans="1:139" x14ac:dyDescent="0.2">
      <c r="A32" s="1">
        <v>6</v>
      </c>
      <c r="B32" s="52" t="s">
        <v>285</v>
      </c>
      <c r="C32" s="53"/>
      <c r="D32" s="52"/>
      <c r="E32" s="52"/>
      <c r="F32" s="52"/>
      <c r="G32" s="61"/>
      <c r="H32" s="56" t="s">
        <v>136</v>
      </c>
      <c r="I32" s="52"/>
      <c r="J32" s="53"/>
      <c r="K32" s="52"/>
      <c r="L32" s="52"/>
      <c r="M32" s="38">
        <f>+M35</f>
        <v>120000000</v>
      </c>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row>
    <row r="33" spans="1:139" ht="25.5" x14ac:dyDescent="0.2">
      <c r="A33" s="1">
        <v>7</v>
      </c>
      <c r="B33" s="52"/>
      <c r="C33" s="53"/>
      <c r="D33" s="52" t="s">
        <v>63</v>
      </c>
      <c r="E33" s="55">
        <v>484</v>
      </c>
      <c r="F33" s="52" t="s">
        <v>319</v>
      </c>
      <c r="G33" s="61"/>
      <c r="H33" s="42" t="s">
        <v>864</v>
      </c>
      <c r="I33" s="55">
        <v>1</v>
      </c>
      <c r="J33" s="53" t="s">
        <v>800</v>
      </c>
      <c r="K33" s="55">
        <v>0</v>
      </c>
      <c r="L33" s="52" t="s">
        <v>1193</v>
      </c>
      <c r="M33" s="54"/>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row>
    <row r="34" spans="1:139" ht="38.25" x14ac:dyDescent="0.2">
      <c r="A34" s="1">
        <v>7</v>
      </c>
      <c r="B34" s="52"/>
      <c r="C34" s="53"/>
      <c r="D34" s="52" t="s">
        <v>63</v>
      </c>
      <c r="E34" s="55">
        <v>485</v>
      </c>
      <c r="F34" s="52" t="s">
        <v>1080</v>
      </c>
      <c r="G34" s="61"/>
      <c r="H34" s="42" t="s">
        <v>178</v>
      </c>
      <c r="I34" s="55">
        <v>2</v>
      </c>
      <c r="J34" s="53" t="s">
        <v>886</v>
      </c>
      <c r="K34" s="55">
        <v>0</v>
      </c>
      <c r="L34" s="52" t="s">
        <v>301</v>
      </c>
      <c r="M34" s="54"/>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row>
    <row r="35" spans="1:139" ht="32.25" customHeight="1" x14ac:dyDescent="0.2">
      <c r="A35" s="1">
        <v>8</v>
      </c>
      <c r="B35" s="52"/>
      <c r="C35" s="53" t="s">
        <v>10</v>
      </c>
      <c r="D35" s="52"/>
      <c r="E35" s="52"/>
      <c r="F35" s="52"/>
      <c r="G35" s="61">
        <v>296037</v>
      </c>
      <c r="H35" s="42" t="s">
        <v>349</v>
      </c>
      <c r="I35" s="52"/>
      <c r="J35" s="53"/>
      <c r="K35" s="52"/>
      <c r="L35" s="52"/>
      <c r="M35" s="37">
        <f>+M36</f>
        <v>120000000</v>
      </c>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row>
    <row r="36" spans="1:139" x14ac:dyDescent="0.2">
      <c r="A36" s="1">
        <v>9</v>
      </c>
      <c r="B36" s="52"/>
      <c r="C36" s="53"/>
      <c r="D36" s="52"/>
      <c r="E36" s="52"/>
      <c r="F36" s="52"/>
      <c r="G36" s="61"/>
      <c r="H36" s="42" t="s">
        <v>835</v>
      </c>
      <c r="I36" s="52"/>
      <c r="J36" s="53"/>
      <c r="K36" s="52"/>
      <c r="L36" s="52"/>
      <c r="M36" s="37">
        <f>60000000+60000000</f>
        <v>120000000</v>
      </c>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row>
    <row r="37" spans="1:139" x14ac:dyDescent="0.2">
      <c r="A37" s="1"/>
      <c r="B37" s="52"/>
      <c r="C37" s="53"/>
      <c r="D37" s="52"/>
      <c r="E37" s="52"/>
      <c r="F37" s="52"/>
      <c r="G37" s="61"/>
      <c r="H37" s="42"/>
      <c r="I37" s="52"/>
      <c r="J37" s="53"/>
      <c r="K37" s="52"/>
      <c r="L37" s="52"/>
      <c r="M37" s="37"/>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row>
    <row r="38" spans="1:139" ht="15" x14ac:dyDescent="0.25">
      <c r="A38" s="1">
        <v>10</v>
      </c>
      <c r="B38" s="52"/>
      <c r="C38" s="53"/>
      <c r="D38" s="52"/>
      <c r="E38" s="52"/>
      <c r="F38" s="52"/>
      <c r="G38" s="61"/>
      <c r="H38" s="63" t="s">
        <v>598</v>
      </c>
      <c r="I38" s="59"/>
      <c r="J38" s="58"/>
      <c r="K38" s="59"/>
      <c r="L38" s="59"/>
      <c r="M38" s="64">
        <f>+M10</f>
        <v>3110000000</v>
      </c>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row>
    <row r="39" spans="1:139" x14ac:dyDescent="0.2">
      <c r="A39" s="1"/>
      <c r="B39" s="52"/>
      <c r="C39" s="53"/>
      <c r="D39" s="52"/>
      <c r="E39" s="52"/>
      <c r="F39" s="52"/>
      <c r="G39" s="61"/>
      <c r="H39" s="42"/>
      <c r="I39" s="52"/>
      <c r="J39" s="53"/>
      <c r="K39" s="52"/>
      <c r="L39" s="52"/>
      <c r="M39" s="37"/>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row>
  </sheetData>
  <mergeCells count="1">
    <mergeCell ref="B2:M2"/>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20"/>
  <sheetViews>
    <sheetView topLeftCell="G3" zoomScale="90" zoomScaleNormal="90" workbookViewId="0">
      <selection activeCell="N19" sqref="N19:T22"/>
    </sheetView>
  </sheetViews>
  <sheetFormatPr baseColWidth="10" defaultColWidth="9.140625" defaultRowHeight="12.75" x14ac:dyDescent="0.2"/>
  <cols>
    <col min="1" max="1" width="13.42578125" hidden="1" customWidth="1"/>
    <col min="2" max="2" width="9.42578125" style="4" customWidth="1"/>
    <col min="3" max="3" width="18" style="3" customWidth="1"/>
    <col min="4" max="4" width="8.28515625" style="4" customWidth="1"/>
    <col min="5" max="5" width="9.140625" style="4"/>
    <col min="6" max="6" width="12.85546875" style="4" customWidth="1"/>
    <col min="7" max="7" width="10" style="4" customWidth="1"/>
    <col min="8" max="8" width="69.140625" style="2" customWidth="1"/>
    <col min="9" max="9" width="11.7109375" style="4" customWidth="1"/>
    <col min="10" max="10" width="16.28515625" style="3" customWidth="1"/>
    <col min="11" max="11" width="16" style="4" customWidth="1"/>
    <col min="12" max="12" width="11" style="4" customWidth="1"/>
    <col min="13" max="13" width="20.28515625" customWidth="1"/>
  </cols>
  <sheetData>
    <row r="1" spans="1:158" x14ac:dyDescent="0.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row>
    <row r="2" spans="1:158" ht="24" customHeight="1" x14ac:dyDescent="0.2">
      <c r="B2" s="185" t="s">
        <v>1103</v>
      </c>
      <c r="C2" s="185"/>
      <c r="D2" s="185"/>
      <c r="E2" s="185"/>
      <c r="F2" s="185"/>
      <c r="G2" s="185"/>
      <c r="H2" s="185"/>
      <c r="I2" s="185"/>
      <c r="J2" s="185"/>
      <c r="K2" s="185"/>
      <c r="L2" s="185"/>
      <c r="M2" s="185"/>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row>
    <row r="3" spans="1:158" x14ac:dyDescent="0.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row>
    <row r="4" spans="1:158" s="7" customFormat="1" ht="38.25" x14ac:dyDescent="0.2">
      <c r="A4" s="7" t="s">
        <v>641</v>
      </c>
      <c r="B4" s="10" t="s">
        <v>1100</v>
      </c>
      <c r="C4" s="10" t="s">
        <v>1092</v>
      </c>
      <c r="D4" s="9" t="s">
        <v>1091</v>
      </c>
      <c r="E4" s="10" t="s">
        <v>1097</v>
      </c>
      <c r="F4" s="9" t="s">
        <v>1098</v>
      </c>
      <c r="G4" s="9" t="s">
        <v>1093</v>
      </c>
      <c r="H4" s="10" t="s">
        <v>409</v>
      </c>
      <c r="I4" s="10" t="s">
        <v>1094</v>
      </c>
      <c r="J4" s="10" t="s">
        <v>1095</v>
      </c>
      <c r="K4" s="10" t="s">
        <v>1104</v>
      </c>
      <c r="L4" s="10" t="s">
        <v>1096</v>
      </c>
      <c r="M4" s="10"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3"/>
      <c r="ET4" s="33"/>
      <c r="EU4" s="33"/>
      <c r="EV4" s="33"/>
      <c r="EW4" s="33"/>
      <c r="EX4" s="33"/>
      <c r="EY4" s="33"/>
      <c r="EZ4" s="33"/>
      <c r="FA4" s="33"/>
      <c r="FB4" s="33"/>
    </row>
    <row r="5" spans="1:158" x14ac:dyDescent="0.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row>
    <row r="6" spans="1:158" x14ac:dyDescent="0.2">
      <c r="A6" s="1"/>
      <c r="B6" s="52"/>
      <c r="C6" s="53"/>
      <c r="D6" s="52"/>
      <c r="E6" s="52"/>
      <c r="F6" s="52"/>
      <c r="G6" s="61"/>
      <c r="H6" s="42"/>
      <c r="I6" s="52"/>
      <c r="J6" s="53"/>
      <c r="K6" s="52"/>
      <c r="L6" s="52"/>
      <c r="M6" s="37"/>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row>
    <row r="7" spans="1:158" ht="15.75" x14ac:dyDescent="0.2">
      <c r="A7" s="1">
        <v>0</v>
      </c>
      <c r="B7" s="52"/>
      <c r="C7" s="53"/>
      <c r="D7" s="52"/>
      <c r="E7" s="52"/>
      <c r="F7" s="52"/>
      <c r="G7" s="61"/>
      <c r="H7" s="51" t="s">
        <v>701</v>
      </c>
      <c r="I7" s="52"/>
      <c r="J7" s="53"/>
      <c r="K7" s="52"/>
      <c r="L7" s="52"/>
      <c r="M7" s="54"/>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row>
    <row r="8" spans="1:158" ht="31.5" x14ac:dyDescent="0.2">
      <c r="A8" s="1">
        <v>1</v>
      </c>
      <c r="B8" s="52"/>
      <c r="C8" s="53"/>
      <c r="D8" s="52"/>
      <c r="E8" s="52"/>
      <c r="F8" s="52"/>
      <c r="G8" s="61"/>
      <c r="H8" s="51" t="s">
        <v>998</v>
      </c>
      <c r="I8" s="52"/>
      <c r="J8" s="53"/>
      <c r="K8" s="52"/>
      <c r="L8" s="52"/>
      <c r="M8" s="54"/>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row>
    <row r="9" spans="1:158" x14ac:dyDescent="0.2">
      <c r="A9" s="1">
        <v>2</v>
      </c>
      <c r="B9" s="52"/>
      <c r="C9" s="53"/>
      <c r="D9" s="52"/>
      <c r="E9" s="52"/>
      <c r="F9" s="52"/>
      <c r="G9" s="61"/>
      <c r="H9" s="42"/>
      <c r="I9" s="52"/>
      <c r="J9" s="53"/>
      <c r="K9" s="52"/>
      <c r="L9" s="52"/>
      <c r="M9" s="54"/>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row>
    <row r="10" spans="1:158" ht="25.5" x14ac:dyDescent="0.2">
      <c r="A10" s="1">
        <v>3</v>
      </c>
      <c r="B10" s="52" t="s">
        <v>841</v>
      </c>
      <c r="C10" s="53"/>
      <c r="D10" s="52"/>
      <c r="E10" s="52"/>
      <c r="F10" s="52"/>
      <c r="G10" s="61"/>
      <c r="H10" s="56" t="s">
        <v>165</v>
      </c>
      <c r="I10" s="52"/>
      <c r="J10" s="53"/>
      <c r="K10" s="52"/>
      <c r="L10" s="52"/>
      <c r="M10" s="38">
        <f>+M11</f>
        <v>572000000</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row>
    <row r="11" spans="1:158" x14ac:dyDescent="0.2">
      <c r="A11" s="1">
        <v>4</v>
      </c>
      <c r="B11" s="52" t="s">
        <v>497</v>
      </c>
      <c r="C11" s="53"/>
      <c r="D11" s="52"/>
      <c r="E11" s="52"/>
      <c r="F11" s="52"/>
      <c r="G11" s="61"/>
      <c r="H11" s="56" t="s">
        <v>355</v>
      </c>
      <c r="I11" s="52"/>
      <c r="J11" s="53"/>
      <c r="K11" s="52"/>
      <c r="L11" s="52"/>
      <c r="M11" s="38">
        <f>+M14</f>
        <v>572000000</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row>
    <row r="12" spans="1:158" ht="25.5" x14ac:dyDescent="0.2">
      <c r="A12" s="1">
        <v>5</v>
      </c>
      <c r="B12" s="52"/>
      <c r="C12" s="53"/>
      <c r="D12" s="52"/>
      <c r="E12" s="55">
        <v>618</v>
      </c>
      <c r="F12" s="52" t="s">
        <v>268</v>
      </c>
      <c r="G12" s="61"/>
      <c r="H12" s="42" t="s">
        <v>950</v>
      </c>
      <c r="I12" s="55">
        <v>116</v>
      </c>
      <c r="J12" s="53" t="s">
        <v>286</v>
      </c>
      <c r="K12" s="55"/>
      <c r="L12" s="52"/>
      <c r="M12" s="54"/>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row>
    <row r="13" spans="1:158" ht="27.75" customHeight="1" x14ac:dyDescent="0.2">
      <c r="A13" s="1">
        <v>5</v>
      </c>
      <c r="B13" s="52"/>
      <c r="C13" s="53"/>
      <c r="D13" s="52"/>
      <c r="E13" s="55">
        <v>615</v>
      </c>
      <c r="F13" s="52" t="s">
        <v>268</v>
      </c>
      <c r="G13" s="61"/>
      <c r="H13" s="42" t="s">
        <v>148</v>
      </c>
      <c r="I13" s="55">
        <v>1</v>
      </c>
      <c r="J13" s="53" t="s">
        <v>1001</v>
      </c>
      <c r="K13" s="55"/>
      <c r="L13" s="52"/>
      <c r="M13" s="54"/>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row>
    <row r="14" spans="1:158" ht="25.5" x14ac:dyDescent="0.2">
      <c r="A14" s="1">
        <v>6</v>
      </c>
      <c r="B14" s="52" t="s">
        <v>450</v>
      </c>
      <c r="C14" s="53"/>
      <c r="D14" s="52"/>
      <c r="E14" s="52"/>
      <c r="F14" s="52"/>
      <c r="G14" s="61"/>
      <c r="H14" s="56" t="s">
        <v>238</v>
      </c>
      <c r="I14" s="52"/>
      <c r="J14" s="53"/>
      <c r="K14" s="52"/>
      <c r="L14" s="52"/>
      <c r="M14" s="38">
        <f>+M16</f>
        <v>572000000</v>
      </c>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row>
    <row r="15" spans="1:158" ht="38.25" x14ac:dyDescent="0.2">
      <c r="A15" s="1">
        <v>7</v>
      </c>
      <c r="B15" s="52"/>
      <c r="C15" s="53"/>
      <c r="D15" s="52" t="s">
        <v>597</v>
      </c>
      <c r="E15" s="55">
        <v>541</v>
      </c>
      <c r="F15" s="52" t="s">
        <v>1080</v>
      </c>
      <c r="G15" s="61"/>
      <c r="H15" s="42" t="s">
        <v>536</v>
      </c>
      <c r="I15" s="55">
        <v>8</v>
      </c>
      <c r="J15" s="53" t="s">
        <v>867</v>
      </c>
      <c r="K15" s="55">
        <v>5</v>
      </c>
      <c r="L15" s="52" t="s">
        <v>422</v>
      </c>
      <c r="M15" s="54"/>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row>
    <row r="16" spans="1:158" ht="25.5" x14ac:dyDescent="0.2">
      <c r="A16" s="1">
        <v>8</v>
      </c>
      <c r="B16" s="52"/>
      <c r="C16" s="53" t="s">
        <v>862</v>
      </c>
      <c r="D16" s="52"/>
      <c r="E16" s="52"/>
      <c r="F16" s="52"/>
      <c r="G16" s="61">
        <v>296053</v>
      </c>
      <c r="H16" s="42" t="s">
        <v>350</v>
      </c>
      <c r="I16" s="52"/>
      <c r="J16" s="53"/>
      <c r="K16" s="52"/>
      <c r="L16" s="52"/>
      <c r="M16" s="37">
        <f>+M17</f>
        <v>572000000</v>
      </c>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row>
    <row r="17" spans="1:158" x14ac:dyDescent="0.2">
      <c r="A17" s="1">
        <v>9</v>
      </c>
      <c r="B17" s="52"/>
      <c r="C17" s="53"/>
      <c r="D17" s="52"/>
      <c r="E17" s="52"/>
      <c r="F17" s="52"/>
      <c r="G17" s="61"/>
      <c r="H17" s="42" t="s">
        <v>835</v>
      </c>
      <c r="I17" s="52"/>
      <c r="J17" s="53"/>
      <c r="K17" s="52"/>
      <c r="L17" s="52"/>
      <c r="M17" s="37">
        <f>72000000+500000000</f>
        <v>572000000</v>
      </c>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row>
    <row r="18" spans="1:158" x14ac:dyDescent="0.2">
      <c r="A18" s="1"/>
      <c r="B18" s="52"/>
      <c r="C18" s="53"/>
      <c r="D18" s="52"/>
      <c r="E18" s="52"/>
      <c r="F18" s="52"/>
      <c r="G18" s="61"/>
      <c r="H18" s="42"/>
      <c r="I18" s="52"/>
      <c r="J18" s="53"/>
      <c r="K18" s="52"/>
      <c r="L18" s="52"/>
      <c r="M18" s="37"/>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row>
    <row r="19" spans="1:158" ht="30" x14ac:dyDescent="0.25">
      <c r="A19" s="1">
        <v>10</v>
      </c>
      <c r="B19" s="52"/>
      <c r="C19" s="53"/>
      <c r="D19" s="52"/>
      <c r="E19" s="52"/>
      <c r="F19" s="52"/>
      <c r="G19" s="61"/>
      <c r="H19" s="65" t="s">
        <v>174</v>
      </c>
      <c r="I19" s="59"/>
      <c r="J19" s="58"/>
      <c r="K19" s="59"/>
      <c r="L19" s="59"/>
      <c r="M19" s="64">
        <f>+M10</f>
        <v>572000000</v>
      </c>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row>
    <row r="20" spans="1:158" ht="15" x14ac:dyDescent="0.25">
      <c r="A20" s="1"/>
      <c r="B20" s="52"/>
      <c r="C20" s="53"/>
      <c r="D20" s="52"/>
      <c r="E20" s="52"/>
      <c r="F20" s="52"/>
      <c r="G20" s="61"/>
      <c r="H20" s="63"/>
      <c r="I20" s="59"/>
      <c r="J20" s="58"/>
      <c r="K20" s="59"/>
      <c r="L20" s="59"/>
      <c r="M20" s="64"/>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row>
  </sheetData>
  <mergeCells count="1">
    <mergeCell ref="B2:M2"/>
  </mergeCells>
  <pageMargins left="0.74803149606299213" right="0.74803149606299213" top="0.98425196850393704" bottom="0.98425196850393704" header="0.51181102362204722" footer="0.51181102362204722"/>
  <pageSetup paperSize="5" scale="7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G31"/>
  <sheetViews>
    <sheetView topLeftCell="G18" zoomScale="80" zoomScaleNormal="80" workbookViewId="0">
      <selection activeCell="H32" sqref="B32:K59"/>
    </sheetView>
  </sheetViews>
  <sheetFormatPr baseColWidth="10" defaultColWidth="9.140625" defaultRowHeight="12.75" x14ac:dyDescent="0.2"/>
  <cols>
    <col min="1" max="1" width="13.42578125" style="32" hidden="1" customWidth="1"/>
    <col min="2" max="2" width="9.42578125" style="69" customWidth="1"/>
    <col min="3" max="3" width="18" style="70" customWidth="1"/>
    <col min="4" max="4" width="8.28515625" style="69" customWidth="1"/>
    <col min="5" max="5" width="9.140625" style="69"/>
    <col min="6" max="6" width="12.85546875" style="69" customWidth="1"/>
    <col min="7" max="7" width="10" style="69" customWidth="1"/>
    <col min="8" max="8" width="69.140625"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2" spans="1:137" ht="24" customHeight="1" x14ac:dyDescent="0.2">
      <c r="B2" s="187" t="s">
        <v>1103</v>
      </c>
      <c r="C2" s="187"/>
      <c r="D2" s="187"/>
      <c r="E2" s="187"/>
      <c r="F2" s="187"/>
      <c r="G2" s="187"/>
      <c r="H2" s="187"/>
      <c r="I2" s="187"/>
      <c r="J2" s="187"/>
      <c r="K2" s="187"/>
      <c r="L2" s="187"/>
      <c r="M2" s="187"/>
    </row>
    <row r="4" spans="1:137" s="33" customFormat="1" ht="90.75" customHeight="1" x14ac:dyDescent="0.2">
      <c r="A4" s="33" t="s">
        <v>641</v>
      </c>
      <c r="B4" s="71" t="s">
        <v>1100</v>
      </c>
      <c r="C4" s="71" t="s">
        <v>1092</v>
      </c>
      <c r="D4" s="35" t="s">
        <v>1091</v>
      </c>
      <c r="E4" s="71" t="s">
        <v>1097</v>
      </c>
      <c r="F4" s="35" t="s">
        <v>1098</v>
      </c>
      <c r="G4" s="35" t="s">
        <v>1093</v>
      </c>
      <c r="H4" s="71" t="s">
        <v>409</v>
      </c>
      <c r="I4" s="71" t="s">
        <v>1094</v>
      </c>
      <c r="J4" s="71" t="s">
        <v>1095</v>
      </c>
      <c r="K4" s="71" t="s">
        <v>1104</v>
      </c>
      <c r="L4" s="71" t="s">
        <v>1096</v>
      </c>
      <c r="M4" s="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row>
    <row r="6" spans="1:137" ht="15.75" x14ac:dyDescent="0.2">
      <c r="A6" s="37">
        <v>0</v>
      </c>
      <c r="B6" s="52"/>
      <c r="C6" s="53"/>
      <c r="D6" s="52"/>
      <c r="E6" s="52"/>
      <c r="F6" s="52"/>
      <c r="G6" s="61"/>
      <c r="H6" s="51" t="s">
        <v>376</v>
      </c>
      <c r="I6" s="52"/>
      <c r="J6" s="53"/>
      <c r="K6" s="52"/>
      <c r="L6" s="52"/>
      <c r="M6" s="54"/>
    </row>
    <row r="7" spans="1:137" ht="47.25" x14ac:dyDescent="0.2">
      <c r="A7" s="37">
        <v>1</v>
      </c>
      <c r="B7" s="52"/>
      <c r="C7" s="53"/>
      <c r="D7" s="52"/>
      <c r="E7" s="52"/>
      <c r="F7" s="52"/>
      <c r="G7" s="61"/>
      <c r="H7" s="51" t="s">
        <v>1055</v>
      </c>
      <c r="I7" s="52"/>
      <c r="J7" s="53"/>
      <c r="K7" s="52"/>
      <c r="L7" s="52"/>
      <c r="M7" s="54"/>
    </row>
    <row r="8" spans="1:137" x14ac:dyDescent="0.2">
      <c r="A8" s="37">
        <v>2</v>
      </c>
      <c r="B8" s="52"/>
      <c r="C8" s="53"/>
      <c r="D8" s="52"/>
      <c r="E8" s="52"/>
      <c r="F8" s="52"/>
      <c r="G8" s="61"/>
      <c r="H8" s="42"/>
      <c r="I8" s="52"/>
      <c r="J8" s="53"/>
      <c r="K8" s="52"/>
      <c r="L8" s="52"/>
      <c r="M8" s="54"/>
    </row>
    <row r="9" spans="1:137" x14ac:dyDescent="0.2">
      <c r="A9" s="37">
        <v>3</v>
      </c>
      <c r="B9" s="52" t="s">
        <v>1025</v>
      </c>
      <c r="C9" s="53"/>
      <c r="D9" s="52"/>
      <c r="E9" s="52"/>
      <c r="F9" s="52"/>
      <c r="G9" s="61"/>
      <c r="H9" s="56" t="s">
        <v>912</v>
      </c>
      <c r="I9" s="52"/>
      <c r="J9" s="53"/>
      <c r="K9" s="52"/>
      <c r="L9" s="52"/>
      <c r="M9" s="38">
        <f>+M10</f>
        <v>2615466000</v>
      </c>
    </row>
    <row r="10" spans="1:137" ht="25.5" x14ac:dyDescent="0.2">
      <c r="A10" s="37">
        <v>4</v>
      </c>
      <c r="B10" s="52" t="s">
        <v>1069</v>
      </c>
      <c r="C10" s="53"/>
      <c r="D10" s="52"/>
      <c r="E10" s="52"/>
      <c r="F10" s="52"/>
      <c r="G10" s="61"/>
      <c r="H10" s="56" t="s">
        <v>1032</v>
      </c>
      <c r="I10" s="52"/>
      <c r="J10" s="53"/>
      <c r="K10" s="52"/>
      <c r="L10" s="52"/>
      <c r="M10" s="38">
        <f>+M12</f>
        <v>2615466000</v>
      </c>
    </row>
    <row r="11" spans="1:137" x14ac:dyDescent="0.2">
      <c r="A11" s="37">
        <v>5</v>
      </c>
      <c r="B11" s="52"/>
      <c r="C11" s="53"/>
      <c r="D11" s="52"/>
      <c r="E11" s="55">
        <v>397</v>
      </c>
      <c r="F11" s="52" t="s">
        <v>268</v>
      </c>
      <c r="G11" s="61"/>
      <c r="H11" s="42" t="s">
        <v>216</v>
      </c>
      <c r="I11" s="55">
        <v>7</v>
      </c>
      <c r="J11" s="53" t="s">
        <v>964</v>
      </c>
      <c r="K11" s="55"/>
      <c r="L11" s="52"/>
      <c r="M11" s="54"/>
    </row>
    <row r="12" spans="1:137" x14ac:dyDescent="0.2">
      <c r="A12" s="37">
        <v>6</v>
      </c>
      <c r="B12" s="52" t="s">
        <v>857</v>
      </c>
      <c r="C12" s="53"/>
      <c r="D12" s="52"/>
      <c r="E12" s="52"/>
      <c r="F12" s="52"/>
      <c r="G12" s="61"/>
      <c r="H12" s="56" t="s">
        <v>927</v>
      </c>
      <c r="I12" s="52"/>
      <c r="J12" s="53"/>
      <c r="K12" s="52"/>
      <c r="L12" s="52"/>
      <c r="M12" s="38">
        <f>+M21+M24</f>
        <v>2615466000</v>
      </c>
    </row>
    <row r="13" spans="1:137" ht="25.5" x14ac:dyDescent="0.2">
      <c r="A13" s="37"/>
      <c r="B13" s="52"/>
      <c r="C13" s="53"/>
      <c r="D13" s="52" t="s">
        <v>284</v>
      </c>
      <c r="E13" s="55">
        <v>399</v>
      </c>
      <c r="F13" s="52" t="s">
        <v>1080</v>
      </c>
      <c r="G13" s="61"/>
      <c r="H13" s="42" t="s">
        <v>769</v>
      </c>
      <c r="I13" s="55">
        <v>1</v>
      </c>
      <c r="J13" s="53" t="s">
        <v>924</v>
      </c>
      <c r="K13" s="55">
        <v>0</v>
      </c>
      <c r="L13" s="52" t="s">
        <v>301</v>
      </c>
      <c r="M13" s="38"/>
    </row>
    <row r="14" spans="1:137" ht="25.5" x14ac:dyDescent="0.2">
      <c r="A14" s="37"/>
      <c r="B14" s="52"/>
      <c r="C14" s="53"/>
      <c r="D14" s="52" t="s">
        <v>997</v>
      </c>
      <c r="E14" s="55">
        <v>400</v>
      </c>
      <c r="F14" s="52" t="s">
        <v>1080</v>
      </c>
      <c r="G14" s="61"/>
      <c r="H14" s="42" t="s">
        <v>337</v>
      </c>
      <c r="I14" s="55">
        <v>15</v>
      </c>
      <c r="J14" s="53" t="s">
        <v>964</v>
      </c>
      <c r="K14" s="55">
        <v>15</v>
      </c>
      <c r="L14" s="52" t="s">
        <v>1195</v>
      </c>
      <c r="M14" s="38"/>
    </row>
    <row r="15" spans="1:137" ht="38.25" x14ac:dyDescent="0.2">
      <c r="A15" s="37"/>
      <c r="B15" s="52"/>
      <c r="C15" s="53"/>
      <c r="D15" s="52" t="s">
        <v>510</v>
      </c>
      <c r="E15" s="55">
        <v>402</v>
      </c>
      <c r="F15" s="52" t="s">
        <v>1080</v>
      </c>
      <c r="G15" s="61"/>
      <c r="H15" s="42" t="s">
        <v>637</v>
      </c>
      <c r="I15" s="55">
        <v>30</v>
      </c>
      <c r="J15" s="53" t="s">
        <v>93</v>
      </c>
      <c r="K15" s="55">
        <v>4</v>
      </c>
      <c r="L15" s="52" t="s">
        <v>114</v>
      </c>
      <c r="M15" s="38"/>
    </row>
    <row r="16" spans="1:137" ht="38.25" x14ac:dyDescent="0.2">
      <c r="A16" s="37">
        <v>7</v>
      </c>
      <c r="B16" s="52"/>
      <c r="C16" s="53"/>
      <c r="D16" s="52" t="s">
        <v>284</v>
      </c>
      <c r="E16" s="55">
        <v>403</v>
      </c>
      <c r="F16" s="52" t="s">
        <v>1080</v>
      </c>
      <c r="G16" s="61"/>
      <c r="H16" s="42" t="s">
        <v>411</v>
      </c>
      <c r="I16" s="55">
        <v>2</v>
      </c>
      <c r="J16" s="53" t="s">
        <v>131</v>
      </c>
      <c r="K16" s="55">
        <v>2</v>
      </c>
      <c r="L16" s="52" t="s">
        <v>1025</v>
      </c>
      <c r="M16" s="54"/>
    </row>
    <row r="17" spans="1:13" ht="25.5" x14ac:dyDescent="0.2">
      <c r="A17" s="37">
        <v>7</v>
      </c>
      <c r="B17" s="52"/>
      <c r="C17" s="53"/>
      <c r="D17" s="52" t="s">
        <v>1027</v>
      </c>
      <c r="E17" s="55">
        <v>404</v>
      </c>
      <c r="F17" s="52" t="s">
        <v>1080</v>
      </c>
      <c r="G17" s="61"/>
      <c r="H17" s="42" t="s">
        <v>14</v>
      </c>
      <c r="I17" s="55">
        <v>100</v>
      </c>
      <c r="J17" s="53" t="s">
        <v>69</v>
      </c>
      <c r="K17" s="55">
        <v>100</v>
      </c>
      <c r="L17" s="52" t="s">
        <v>1165</v>
      </c>
      <c r="M17" s="54"/>
    </row>
    <row r="18" spans="1:13" x14ac:dyDescent="0.2">
      <c r="A18" s="37">
        <v>7</v>
      </c>
      <c r="B18" s="52"/>
      <c r="C18" s="53"/>
      <c r="D18" s="32"/>
      <c r="E18" s="32"/>
      <c r="F18" s="32"/>
      <c r="G18" s="32"/>
      <c r="H18" s="32"/>
      <c r="I18" s="32"/>
      <c r="J18" s="32"/>
      <c r="K18" s="32"/>
      <c r="L18" s="32"/>
      <c r="M18" s="54"/>
    </row>
    <row r="19" spans="1:13" ht="25.5" x14ac:dyDescent="0.2">
      <c r="A19" s="37">
        <v>7</v>
      </c>
      <c r="B19" s="52"/>
      <c r="C19" s="53"/>
      <c r="D19" s="52" t="s">
        <v>997</v>
      </c>
      <c r="E19" s="55">
        <v>408</v>
      </c>
      <c r="F19" s="52" t="s">
        <v>319</v>
      </c>
      <c r="G19" s="61"/>
      <c r="H19" s="42" t="s">
        <v>748</v>
      </c>
      <c r="I19" s="55">
        <v>35</v>
      </c>
      <c r="J19" s="53" t="s">
        <v>945</v>
      </c>
      <c r="K19" s="55">
        <v>5</v>
      </c>
      <c r="L19" s="52" t="s">
        <v>1195</v>
      </c>
      <c r="M19" s="54"/>
    </row>
    <row r="20" spans="1:13" x14ac:dyDescent="0.2">
      <c r="A20" s="37">
        <v>7</v>
      </c>
      <c r="B20" s="52"/>
      <c r="C20" s="53"/>
      <c r="D20" s="32"/>
      <c r="E20" s="32"/>
      <c r="F20" s="32"/>
      <c r="G20" s="32"/>
      <c r="H20" s="32"/>
      <c r="I20" s="32"/>
      <c r="J20" s="32"/>
      <c r="K20" s="32"/>
      <c r="L20" s="32"/>
      <c r="M20" s="54"/>
    </row>
    <row r="21" spans="1:13" ht="46.5" customHeight="1" x14ac:dyDescent="0.2">
      <c r="A21" s="37">
        <v>8</v>
      </c>
      <c r="B21" s="52"/>
      <c r="C21" s="53" t="s">
        <v>1282</v>
      </c>
      <c r="D21" s="52"/>
      <c r="E21" s="52"/>
      <c r="F21" s="52"/>
      <c r="G21" s="195">
        <v>296009</v>
      </c>
      <c r="H21" s="174" t="s">
        <v>1281</v>
      </c>
      <c r="I21" s="189"/>
      <c r="J21" s="190"/>
      <c r="K21" s="189"/>
      <c r="L21" s="189"/>
      <c r="M21" s="183">
        <f>+M22+M23</f>
        <v>170000000</v>
      </c>
    </row>
    <row r="22" spans="1:13" ht="25.5" x14ac:dyDescent="0.2">
      <c r="A22" s="37">
        <v>9</v>
      </c>
      <c r="B22" s="52"/>
      <c r="C22" s="53"/>
      <c r="D22" s="52"/>
      <c r="E22" s="52"/>
      <c r="F22" s="52"/>
      <c r="G22" s="195"/>
      <c r="H22" s="80" t="s">
        <v>353</v>
      </c>
      <c r="I22" s="189"/>
      <c r="J22" s="190"/>
      <c r="K22" s="189"/>
      <c r="L22" s="189"/>
      <c r="M22" s="183">
        <f>170000000</f>
        <v>170000000</v>
      </c>
    </row>
    <row r="23" spans="1:13" x14ac:dyDescent="0.2">
      <c r="A23" s="37">
        <v>9</v>
      </c>
      <c r="B23" s="52"/>
      <c r="C23" s="53"/>
      <c r="D23" s="52"/>
      <c r="E23" s="52"/>
      <c r="F23" s="52"/>
      <c r="G23" s="195"/>
      <c r="H23" s="80" t="s">
        <v>835</v>
      </c>
      <c r="I23" s="189"/>
      <c r="J23" s="190"/>
      <c r="K23" s="189"/>
      <c r="L23" s="189"/>
      <c r="M23" s="183">
        <v>0</v>
      </c>
    </row>
    <row r="24" spans="1:13" ht="48" customHeight="1" x14ac:dyDescent="0.2">
      <c r="A24" s="37"/>
      <c r="B24" s="52"/>
      <c r="C24" s="53" t="s">
        <v>1355</v>
      </c>
      <c r="D24" s="52"/>
      <c r="E24" s="52"/>
      <c r="F24" s="52"/>
      <c r="G24" s="195">
        <v>296009</v>
      </c>
      <c r="H24" s="174" t="s">
        <v>1356</v>
      </c>
      <c r="I24" s="189"/>
      <c r="J24" s="190"/>
      <c r="K24" s="189"/>
      <c r="L24" s="189"/>
      <c r="M24" s="183">
        <f>+M25+M27+M26</f>
        <v>2445466000</v>
      </c>
    </row>
    <row r="25" spans="1:13" ht="25.5" x14ac:dyDescent="0.2">
      <c r="A25" s="37"/>
      <c r="B25" s="52"/>
      <c r="C25" s="53" t="s">
        <v>1525</v>
      </c>
      <c r="D25" s="52"/>
      <c r="E25" s="52"/>
      <c r="F25" s="52"/>
      <c r="G25" s="195"/>
      <c r="H25" s="80" t="s">
        <v>353</v>
      </c>
      <c r="I25" s="189"/>
      <c r="J25" s="190"/>
      <c r="K25" s="189"/>
      <c r="L25" s="189"/>
      <c r="M25" s="183">
        <f>1061000000+565000+60808000</f>
        <v>1122373000</v>
      </c>
    </row>
    <row r="26" spans="1:13" x14ac:dyDescent="0.2">
      <c r="A26" s="37"/>
      <c r="B26" s="52"/>
      <c r="C26" s="53"/>
      <c r="D26" s="52"/>
      <c r="E26" s="52"/>
      <c r="F26" s="52"/>
      <c r="G26" s="195"/>
      <c r="H26" s="80" t="s">
        <v>1526</v>
      </c>
      <c r="I26" s="189"/>
      <c r="J26" s="190"/>
      <c r="K26" s="189"/>
      <c r="L26" s="189"/>
      <c r="M26" s="183">
        <v>1000000000</v>
      </c>
    </row>
    <row r="27" spans="1:13" x14ac:dyDescent="0.2">
      <c r="A27" s="37"/>
      <c r="B27" s="52"/>
      <c r="C27" s="53"/>
      <c r="D27" s="52"/>
      <c r="E27" s="52"/>
      <c r="F27" s="52"/>
      <c r="G27" s="195"/>
      <c r="H27" s="80" t="s">
        <v>1517</v>
      </c>
      <c r="I27" s="189"/>
      <c r="J27" s="190"/>
      <c r="K27" s="189"/>
      <c r="L27" s="189"/>
      <c r="M27" s="183">
        <f>307891000+15202000</f>
        <v>323093000</v>
      </c>
    </row>
    <row r="28" spans="1:13" ht="30" x14ac:dyDescent="0.25">
      <c r="A28" s="37">
        <v>10</v>
      </c>
      <c r="B28" s="52"/>
      <c r="C28" s="53"/>
      <c r="D28" s="52"/>
      <c r="E28" s="52"/>
      <c r="F28" s="52"/>
      <c r="G28" s="195"/>
      <c r="H28" s="178" t="s">
        <v>305</v>
      </c>
      <c r="I28" s="208"/>
      <c r="J28" s="207"/>
      <c r="K28" s="208"/>
      <c r="L28" s="208"/>
      <c r="M28" s="202">
        <f>+M9</f>
        <v>2615466000</v>
      </c>
    </row>
    <row r="29" spans="1:13" x14ac:dyDescent="0.2">
      <c r="A29" s="37"/>
      <c r="B29" s="52"/>
      <c r="C29" s="53"/>
      <c r="D29" s="52"/>
      <c r="E29" s="52"/>
      <c r="F29" s="52"/>
      <c r="G29" s="195"/>
      <c r="H29" s="80"/>
      <c r="I29" s="189"/>
      <c r="J29" s="190"/>
      <c r="K29" s="189"/>
      <c r="L29" s="189"/>
      <c r="M29" s="183"/>
    </row>
    <row r="30" spans="1:13" x14ac:dyDescent="0.2">
      <c r="A30" s="37"/>
      <c r="B30" s="52"/>
      <c r="C30" s="53"/>
      <c r="D30" s="52"/>
      <c r="E30" s="52"/>
      <c r="F30" s="52"/>
      <c r="G30" s="195"/>
      <c r="H30" s="80"/>
      <c r="I30" s="189"/>
      <c r="J30" s="190"/>
      <c r="K30" s="189"/>
      <c r="L30" s="189"/>
      <c r="M30" s="183"/>
    </row>
    <row r="31" spans="1:13" x14ac:dyDescent="0.2">
      <c r="A31" s="37"/>
      <c r="B31" s="52"/>
      <c r="C31" s="53"/>
      <c r="D31" s="52"/>
      <c r="E31" s="52"/>
      <c r="F31" s="52"/>
      <c r="G31" s="61"/>
      <c r="H31" s="42"/>
      <c r="I31" s="52"/>
      <c r="J31" s="53"/>
      <c r="K31" s="52"/>
      <c r="L31" s="52"/>
      <c r="M31" s="37"/>
    </row>
  </sheetData>
  <mergeCells count="1">
    <mergeCell ref="B2:M2"/>
  </mergeCell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T21"/>
  <sheetViews>
    <sheetView topLeftCell="B1" zoomScale="80" zoomScaleNormal="80" workbookViewId="0">
      <selection activeCell="N18" sqref="N18:S20"/>
    </sheetView>
  </sheetViews>
  <sheetFormatPr baseColWidth="10" defaultColWidth="9.140625" defaultRowHeight="12.75" x14ac:dyDescent="0.2"/>
  <cols>
    <col min="1" max="1" width="13.42578125" style="32" hidden="1" customWidth="1"/>
    <col min="2" max="2" width="8.5703125" style="69" customWidth="1"/>
    <col min="3" max="3" width="16.5703125" style="70" customWidth="1"/>
    <col min="4" max="4" width="8.28515625" style="69" customWidth="1"/>
    <col min="5" max="5" width="9.140625" style="69"/>
    <col min="6" max="6" width="11.5703125" style="69" customWidth="1"/>
    <col min="7" max="7" width="8" style="69" customWidth="1"/>
    <col min="8" max="8" width="61.140625"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2" spans="1:150" ht="24" customHeight="1" x14ac:dyDescent="0.2">
      <c r="B2" s="187" t="s">
        <v>1103</v>
      </c>
      <c r="C2" s="187"/>
      <c r="D2" s="187"/>
      <c r="E2" s="187"/>
      <c r="F2" s="187"/>
      <c r="G2" s="187"/>
      <c r="H2" s="187"/>
      <c r="I2" s="187"/>
      <c r="J2" s="187"/>
      <c r="K2" s="187"/>
      <c r="L2" s="187"/>
      <c r="M2" s="187"/>
    </row>
    <row r="4" spans="1:150" s="33" customFormat="1" ht="38.25" x14ac:dyDescent="0.2">
      <c r="A4" s="33" t="s">
        <v>641</v>
      </c>
      <c r="B4" s="71" t="s">
        <v>1100</v>
      </c>
      <c r="C4" s="71" t="s">
        <v>1092</v>
      </c>
      <c r="D4" s="35" t="s">
        <v>1091</v>
      </c>
      <c r="E4" s="71" t="s">
        <v>1097</v>
      </c>
      <c r="F4" s="35" t="s">
        <v>1098</v>
      </c>
      <c r="G4" s="35" t="s">
        <v>1093</v>
      </c>
      <c r="H4" s="71" t="s">
        <v>409</v>
      </c>
      <c r="I4" s="71" t="s">
        <v>1094</v>
      </c>
      <c r="J4" s="71" t="s">
        <v>1095</v>
      </c>
      <c r="K4" s="71" t="s">
        <v>1104</v>
      </c>
      <c r="L4" s="71" t="s">
        <v>1096</v>
      </c>
      <c r="M4" s="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row>
    <row r="6" spans="1:150" x14ac:dyDescent="0.2">
      <c r="A6" s="37"/>
      <c r="B6" s="52"/>
      <c r="C6" s="53"/>
      <c r="D6" s="52"/>
      <c r="E6" s="52"/>
      <c r="F6" s="52"/>
      <c r="G6" s="61"/>
      <c r="H6" s="42"/>
      <c r="I6" s="52"/>
      <c r="J6" s="53"/>
      <c r="K6" s="52"/>
      <c r="L6" s="52"/>
      <c r="M6" s="37"/>
    </row>
    <row r="7" spans="1:150" ht="15.75" x14ac:dyDescent="0.2">
      <c r="A7" s="37">
        <v>0</v>
      </c>
      <c r="B7" s="52"/>
      <c r="C7" s="53"/>
      <c r="D7" s="52"/>
      <c r="E7" s="52"/>
      <c r="F7" s="52"/>
      <c r="G7" s="61"/>
      <c r="H7" s="51" t="s">
        <v>724</v>
      </c>
      <c r="I7" s="52"/>
      <c r="J7" s="53"/>
      <c r="K7" s="52"/>
      <c r="L7" s="52"/>
      <c r="M7" s="54"/>
    </row>
    <row r="8" spans="1:150" ht="15.75" x14ac:dyDescent="0.2">
      <c r="A8" s="37">
        <v>1</v>
      </c>
      <c r="B8" s="52"/>
      <c r="C8" s="53"/>
      <c r="D8" s="52"/>
      <c r="E8" s="52"/>
      <c r="F8" s="52"/>
      <c r="G8" s="61"/>
      <c r="H8" s="51" t="s">
        <v>273</v>
      </c>
      <c r="I8" s="52"/>
      <c r="J8" s="53"/>
      <c r="K8" s="52"/>
      <c r="L8" s="52"/>
      <c r="M8" s="54"/>
    </row>
    <row r="9" spans="1:150" x14ac:dyDescent="0.2">
      <c r="A9" s="37">
        <v>2</v>
      </c>
      <c r="B9" s="52"/>
      <c r="C9" s="53"/>
      <c r="D9" s="52"/>
      <c r="E9" s="52"/>
      <c r="F9" s="52"/>
      <c r="G9" s="61"/>
      <c r="H9" s="42"/>
      <c r="I9" s="52"/>
      <c r="J9" s="53"/>
      <c r="K9" s="52"/>
      <c r="L9" s="52"/>
      <c r="M9" s="54"/>
    </row>
    <row r="10" spans="1:150" ht="25.5" x14ac:dyDescent="0.2">
      <c r="A10" s="37">
        <v>3</v>
      </c>
      <c r="B10" s="52" t="s">
        <v>841</v>
      </c>
      <c r="C10" s="53"/>
      <c r="D10" s="52"/>
      <c r="E10" s="52"/>
      <c r="F10" s="52"/>
      <c r="G10" s="61"/>
      <c r="H10" s="56" t="s">
        <v>165</v>
      </c>
      <c r="I10" s="52"/>
      <c r="J10" s="53"/>
      <c r="K10" s="52"/>
      <c r="L10" s="52"/>
      <c r="M10" s="38">
        <f>+M11</f>
        <v>35910484000</v>
      </c>
    </row>
    <row r="11" spans="1:150" x14ac:dyDescent="0.2">
      <c r="A11" s="37">
        <v>4</v>
      </c>
      <c r="B11" s="52" t="s">
        <v>497</v>
      </c>
      <c r="C11" s="53"/>
      <c r="D11" s="52"/>
      <c r="E11" s="52"/>
      <c r="F11" s="52"/>
      <c r="G11" s="61"/>
      <c r="H11" s="56" t="s">
        <v>355</v>
      </c>
      <c r="I11" s="52"/>
      <c r="J11" s="53"/>
      <c r="K11" s="52"/>
      <c r="L11" s="52"/>
      <c r="M11" s="38">
        <f>+M13</f>
        <v>35910484000</v>
      </c>
    </row>
    <row r="12" spans="1:150" ht="25.5" x14ac:dyDescent="0.2">
      <c r="A12" s="37">
        <v>5</v>
      </c>
      <c r="B12" s="52"/>
      <c r="C12" s="53"/>
      <c r="D12" s="52"/>
      <c r="E12" s="55">
        <v>613</v>
      </c>
      <c r="F12" s="52" t="s">
        <v>268</v>
      </c>
      <c r="G12" s="61"/>
      <c r="H12" s="42" t="s">
        <v>613</v>
      </c>
      <c r="I12" s="55">
        <v>15</v>
      </c>
      <c r="J12" s="53" t="s">
        <v>440</v>
      </c>
      <c r="K12" s="55"/>
      <c r="L12" s="52"/>
      <c r="M12" s="54"/>
    </row>
    <row r="13" spans="1:150" x14ac:dyDescent="0.2">
      <c r="A13" s="37">
        <v>6</v>
      </c>
      <c r="B13" s="52" t="s">
        <v>857</v>
      </c>
      <c r="C13" s="53"/>
      <c r="D13" s="52"/>
      <c r="E13" s="52"/>
      <c r="F13" s="52"/>
      <c r="G13" s="61"/>
      <c r="H13" s="56" t="s">
        <v>463</v>
      </c>
      <c r="I13" s="52"/>
      <c r="J13" s="53"/>
      <c r="K13" s="52"/>
      <c r="L13" s="52"/>
      <c r="M13" s="38">
        <f>+M15</f>
        <v>35910484000</v>
      </c>
    </row>
    <row r="14" spans="1:150" ht="25.5" x14ac:dyDescent="0.2">
      <c r="A14" s="37">
        <v>7</v>
      </c>
      <c r="B14" s="52"/>
      <c r="C14" s="53"/>
      <c r="D14" s="52" t="s">
        <v>597</v>
      </c>
      <c r="E14" s="55">
        <v>523</v>
      </c>
      <c r="F14" s="52" t="s">
        <v>1080</v>
      </c>
      <c r="G14" s="61"/>
      <c r="H14" s="42" t="s">
        <v>575</v>
      </c>
      <c r="I14" s="55">
        <v>3</v>
      </c>
      <c r="J14" s="53" t="s">
        <v>20</v>
      </c>
      <c r="K14" s="55"/>
      <c r="L14" s="52"/>
      <c r="M14" s="54"/>
    </row>
    <row r="15" spans="1:150" ht="38.25" x14ac:dyDescent="0.2">
      <c r="A15" s="37">
        <v>8</v>
      </c>
      <c r="B15" s="52"/>
      <c r="C15" s="53" t="s">
        <v>882</v>
      </c>
      <c r="D15" s="52"/>
      <c r="E15" s="52"/>
      <c r="F15" s="52"/>
      <c r="G15" s="195">
        <v>296134</v>
      </c>
      <c r="H15" s="80" t="s">
        <v>224</v>
      </c>
      <c r="I15" s="189"/>
      <c r="J15" s="53"/>
      <c r="K15" s="52"/>
      <c r="L15" s="52"/>
      <c r="M15" s="37">
        <f>+M16+M17</f>
        <v>35910484000</v>
      </c>
    </row>
    <row r="16" spans="1:150" x14ac:dyDescent="0.2">
      <c r="A16" s="37">
        <v>9</v>
      </c>
      <c r="B16" s="52"/>
      <c r="C16" s="53"/>
      <c r="D16" s="52"/>
      <c r="E16" s="52"/>
      <c r="F16" s="52"/>
      <c r="G16" s="195"/>
      <c r="H16" s="80" t="s">
        <v>378</v>
      </c>
      <c r="I16" s="189"/>
      <c r="J16" s="53"/>
      <c r="K16" s="52"/>
      <c r="L16" s="52"/>
      <c r="M16" s="37">
        <v>2560484000</v>
      </c>
    </row>
    <row r="17" spans="1:13" x14ac:dyDescent="0.2">
      <c r="A17" s="37">
        <v>9</v>
      </c>
      <c r="B17" s="52"/>
      <c r="C17" s="53"/>
      <c r="D17" s="52"/>
      <c r="E17" s="52"/>
      <c r="F17" s="52"/>
      <c r="G17" s="195"/>
      <c r="H17" s="80" t="s">
        <v>835</v>
      </c>
      <c r="I17" s="189"/>
      <c r="J17" s="53"/>
      <c r="K17" s="52"/>
      <c r="L17" s="52"/>
      <c r="M17" s="37">
        <f>28350000000+5000000000</f>
        <v>33350000000</v>
      </c>
    </row>
    <row r="18" spans="1:13" x14ac:dyDescent="0.2">
      <c r="A18" s="37"/>
      <c r="B18" s="52"/>
      <c r="C18" s="53"/>
      <c r="D18" s="52"/>
      <c r="E18" s="52"/>
      <c r="F18" s="52"/>
      <c r="G18" s="195"/>
      <c r="H18" s="80"/>
      <c r="I18" s="189"/>
      <c r="J18" s="53"/>
      <c r="K18" s="52"/>
      <c r="L18" s="52"/>
      <c r="M18" s="37"/>
    </row>
    <row r="19" spans="1:13" ht="15" x14ac:dyDescent="0.25">
      <c r="A19" s="37">
        <v>10</v>
      </c>
      <c r="B19" s="52"/>
      <c r="C19" s="53"/>
      <c r="D19" s="52"/>
      <c r="E19" s="52"/>
      <c r="F19" s="52"/>
      <c r="G19" s="61"/>
      <c r="H19" s="63" t="s">
        <v>1072</v>
      </c>
      <c r="I19" s="59"/>
      <c r="J19" s="58"/>
      <c r="K19" s="59"/>
      <c r="L19" s="59"/>
      <c r="M19" s="64">
        <f>+M10</f>
        <v>35910484000</v>
      </c>
    </row>
    <row r="20" spans="1:13" ht="15" x14ac:dyDescent="0.25">
      <c r="A20" s="37"/>
      <c r="B20" s="52"/>
      <c r="C20" s="53"/>
      <c r="D20" s="52"/>
      <c r="E20" s="52"/>
      <c r="F20" s="52"/>
      <c r="G20" s="61"/>
      <c r="H20" s="63"/>
      <c r="I20" s="59"/>
      <c r="J20" s="58"/>
      <c r="K20" s="59"/>
      <c r="L20" s="59"/>
      <c r="M20" s="64"/>
    </row>
    <row r="21" spans="1:13" x14ac:dyDescent="0.2">
      <c r="A21" s="37"/>
      <c r="B21" s="52"/>
      <c r="C21" s="53"/>
      <c r="D21" s="52"/>
      <c r="E21" s="52"/>
      <c r="F21" s="52"/>
      <c r="G21" s="61"/>
      <c r="H21" s="42"/>
      <c r="I21" s="52"/>
      <c r="J21" s="53"/>
      <c r="K21" s="52"/>
      <c r="L21" s="52"/>
      <c r="M21" s="37"/>
    </row>
  </sheetData>
  <mergeCells count="1">
    <mergeCell ref="B2:M2"/>
  </mergeCells>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36"/>
  <sheetViews>
    <sheetView topLeftCell="G31" zoomScale="80" zoomScaleNormal="80" workbookViewId="0">
      <selection activeCell="H38" sqref="H38:H61"/>
    </sheetView>
  </sheetViews>
  <sheetFormatPr baseColWidth="10" defaultColWidth="9.140625" defaultRowHeight="12.75" x14ac:dyDescent="0.2"/>
  <cols>
    <col min="1" max="1" width="13.42578125" hidden="1" customWidth="1"/>
    <col min="2" max="2" width="9.42578125" style="4" customWidth="1"/>
    <col min="3" max="3" width="18" style="3" customWidth="1"/>
    <col min="4" max="4" width="8.28515625" style="4" customWidth="1"/>
    <col min="5" max="5" width="9.140625" style="4"/>
    <col min="6" max="6" width="11.42578125" style="4" customWidth="1"/>
    <col min="7" max="7" width="9.28515625" style="4" customWidth="1"/>
    <col min="8" max="8" width="60.7109375" style="2" customWidth="1"/>
    <col min="9" max="9" width="11.7109375" style="4" customWidth="1"/>
    <col min="10" max="10" width="14.7109375" style="3" customWidth="1"/>
    <col min="11" max="11" width="14.42578125" style="4" customWidth="1"/>
    <col min="12" max="12" width="11" style="4" customWidth="1"/>
    <col min="13" max="13" width="20.28515625" customWidth="1"/>
  </cols>
  <sheetData>
    <row r="1" spans="1:157" x14ac:dyDescent="0.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ht="24" customHeight="1" x14ac:dyDescent="0.2">
      <c r="B2" s="185" t="s">
        <v>1103</v>
      </c>
      <c r="C2" s="185"/>
      <c r="D2" s="185"/>
      <c r="E2" s="185"/>
      <c r="F2" s="185"/>
      <c r="G2" s="185"/>
      <c r="H2" s="185"/>
      <c r="I2" s="185"/>
      <c r="J2" s="185"/>
      <c r="K2" s="185"/>
      <c r="L2" s="185"/>
      <c r="M2" s="185"/>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row>
    <row r="3" spans="1:157" x14ac:dyDescent="0.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row>
    <row r="4" spans="1:157" s="7" customFormat="1" ht="38.25" x14ac:dyDescent="0.2">
      <c r="A4" s="7" t="s">
        <v>641</v>
      </c>
      <c r="B4" s="10" t="s">
        <v>1100</v>
      </c>
      <c r="C4" s="10" t="s">
        <v>1092</v>
      </c>
      <c r="D4" s="9" t="s">
        <v>1091</v>
      </c>
      <c r="E4" s="10" t="s">
        <v>1097</v>
      </c>
      <c r="F4" s="9" t="s">
        <v>1098</v>
      </c>
      <c r="G4" s="9" t="s">
        <v>1093</v>
      </c>
      <c r="H4" s="10" t="s">
        <v>409</v>
      </c>
      <c r="I4" s="10" t="s">
        <v>1094</v>
      </c>
      <c r="J4" s="10" t="s">
        <v>1095</v>
      </c>
      <c r="K4" s="10" t="s">
        <v>1104</v>
      </c>
      <c r="L4" s="10" t="s">
        <v>1096</v>
      </c>
      <c r="M4" s="10"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3"/>
      <c r="ES4" s="33"/>
      <c r="ET4" s="33"/>
      <c r="EU4" s="33"/>
      <c r="EV4" s="33"/>
      <c r="EW4" s="33"/>
      <c r="EX4" s="33"/>
      <c r="EY4" s="33"/>
      <c r="EZ4" s="33"/>
      <c r="FA4" s="33"/>
    </row>
    <row r="5" spans="1:157" x14ac:dyDescent="0.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row>
    <row r="6" spans="1:157" x14ac:dyDescent="0.2">
      <c r="A6" s="1"/>
      <c r="B6" s="52"/>
      <c r="C6" s="53"/>
      <c r="D6" s="52"/>
      <c r="E6" s="52"/>
      <c r="F6" s="52"/>
      <c r="G6" s="61"/>
      <c r="H6" s="42"/>
      <c r="I6" s="52"/>
      <c r="J6" s="53"/>
      <c r="K6" s="52"/>
      <c r="L6" s="52"/>
      <c r="M6" s="37"/>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row>
    <row r="7" spans="1:157" ht="15.75" x14ac:dyDescent="0.2">
      <c r="A7" s="1">
        <v>0</v>
      </c>
      <c r="B7" s="52"/>
      <c r="C7" s="53"/>
      <c r="D7" s="52"/>
      <c r="E7" s="52"/>
      <c r="F7" s="52"/>
      <c r="G7" s="61"/>
      <c r="H7" s="51" t="s">
        <v>244</v>
      </c>
      <c r="I7" s="52"/>
      <c r="J7" s="53"/>
      <c r="K7" s="52"/>
      <c r="L7" s="52"/>
      <c r="M7" s="54"/>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row>
    <row r="8" spans="1:157" ht="15.75" x14ac:dyDescent="0.2">
      <c r="A8" s="1">
        <v>1</v>
      </c>
      <c r="B8" s="52"/>
      <c r="C8" s="53"/>
      <c r="D8" s="52"/>
      <c r="E8" s="52"/>
      <c r="F8" s="52"/>
      <c r="G8" s="61"/>
      <c r="H8" s="51" t="s">
        <v>987</v>
      </c>
      <c r="I8" s="52"/>
      <c r="J8" s="53"/>
      <c r="K8" s="52"/>
      <c r="L8" s="52"/>
      <c r="M8" s="54"/>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row>
    <row r="9" spans="1:157" x14ac:dyDescent="0.2">
      <c r="A9" s="1">
        <v>2</v>
      </c>
      <c r="B9" s="52"/>
      <c r="C9" s="53"/>
      <c r="D9" s="52"/>
      <c r="E9" s="52"/>
      <c r="F9" s="52"/>
      <c r="G9" s="61"/>
      <c r="H9" s="42"/>
      <c r="I9" s="52"/>
      <c r="J9" s="53"/>
      <c r="K9" s="52"/>
      <c r="L9" s="52"/>
      <c r="M9" s="54"/>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row>
    <row r="10" spans="1:157" x14ac:dyDescent="0.2">
      <c r="A10" s="1">
        <v>3</v>
      </c>
      <c r="B10" s="52" t="s">
        <v>301</v>
      </c>
      <c r="C10" s="53"/>
      <c r="D10" s="52"/>
      <c r="E10" s="52"/>
      <c r="F10" s="52"/>
      <c r="G10" s="61"/>
      <c r="H10" s="56" t="s">
        <v>981</v>
      </c>
      <c r="I10" s="52"/>
      <c r="J10" s="53"/>
      <c r="K10" s="52"/>
      <c r="L10" s="52"/>
      <c r="M10" s="38">
        <f>+M11+M18</f>
        <v>10254005000</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row>
    <row r="11" spans="1:157" ht="25.5" x14ac:dyDescent="0.2">
      <c r="A11" s="1">
        <v>4</v>
      </c>
      <c r="B11" s="52" t="s">
        <v>1069</v>
      </c>
      <c r="C11" s="53"/>
      <c r="D11" s="52"/>
      <c r="E11" s="52"/>
      <c r="F11" s="52"/>
      <c r="G11" s="61"/>
      <c r="H11" s="56" t="s">
        <v>101</v>
      </c>
      <c r="I11" s="52"/>
      <c r="J11" s="53"/>
      <c r="K11" s="52"/>
      <c r="L11" s="52"/>
      <c r="M11" s="38">
        <f>+M13</f>
        <v>200000000</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row>
    <row r="12" spans="1:157" ht="25.5" x14ac:dyDescent="0.2">
      <c r="A12" s="1">
        <v>5</v>
      </c>
      <c r="B12" s="52"/>
      <c r="C12" s="53"/>
      <c r="D12" s="52"/>
      <c r="E12" s="55">
        <v>269</v>
      </c>
      <c r="F12" s="52" t="s">
        <v>268</v>
      </c>
      <c r="G12" s="61"/>
      <c r="H12" s="42" t="s">
        <v>360</v>
      </c>
      <c r="I12" s="55">
        <v>116</v>
      </c>
      <c r="J12" s="53" t="s">
        <v>286</v>
      </c>
      <c r="K12" s="55"/>
      <c r="L12" s="52"/>
      <c r="M12" s="54"/>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row>
    <row r="13" spans="1:157" x14ac:dyDescent="0.2">
      <c r="A13" s="1">
        <v>6</v>
      </c>
      <c r="B13" s="52" t="s">
        <v>955</v>
      </c>
      <c r="C13" s="53"/>
      <c r="D13" s="52"/>
      <c r="E13" s="52"/>
      <c r="F13" s="52"/>
      <c r="G13" s="61"/>
      <c r="H13" s="56" t="s">
        <v>667</v>
      </c>
      <c r="I13" s="52"/>
      <c r="J13" s="53"/>
      <c r="K13" s="52"/>
      <c r="L13" s="52"/>
      <c r="M13" s="38">
        <f>+M15</f>
        <v>200000000</v>
      </c>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row>
    <row r="14" spans="1:157" ht="38.25" x14ac:dyDescent="0.2">
      <c r="A14" s="1">
        <v>7</v>
      </c>
      <c r="B14" s="52"/>
      <c r="C14" s="53"/>
      <c r="D14" s="52" t="s">
        <v>1088</v>
      </c>
      <c r="E14" s="55">
        <v>318</v>
      </c>
      <c r="F14" s="52" t="s">
        <v>1080</v>
      </c>
      <c r="G14" s="61"/>
      <c r="H14" s="42" t="s">
        <v>609</v>
      </c>
      <c r="I14" s="55">
        <v>200</v>
      </c>
      <c r="J14" s="53" t="s">
        <v>1048</v>
      </c>
      <c r="K14" s="55">
        <v>59</v>
      </c>
      <c r="L14" s="52" t="s">
        <v>1165</v>
      </c>
      <c r="M14" s="54"/>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row>
    <row r="15" spans="1:157" ht="69.75" customHeight="1" x14ac:dyDescent="0.2">
      <c r="A15" s="1">
        <v>8</v>
      </c>
      <c r="B15" s="52"/>
      <c r="C15" s="53" t="s">
        <v>10</v>
      </c>
      <c r="D15" s="52"/>
      <c r="E15" s="52"/>
      <c r="F15" s="52"/>
      <c r="G15" s="19">
        <v>296018</v>
      </c>
      <c r="H15" s="42" t="s">
        <v>156</v>
      </c>
      <c r="I15" s="52"/>
      <c r="J15" s="53"/>
      <c r="K15" s="52"/>
      <c r="L15" s="52"/>
      <c r="M15" s="37">
        <f>+M16</f>
        <v>200000000</v>
      </c>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row>
    <row r="16" spans="1:157" x14ac:dyDescent="0.2">
      <c r="A16" s="1">
        <v>9</v>
      </c>
      <c r="B16" s="52"/>
      <c r="C16" s="53"/>
      <c r="D16" s="52"/>
      <c r="E16" s="52"/>
      <c r="F16" s="52"/>
      <c r="G16" s="61"/>
      <c r="H16" s="42" t="s">
        <v>835</v>
      </c>
      <c r="I16" s="52"/>
      <c r="J16" s="53"/>
      <c r="K16" s="52"/>
      <c r="L16" s="52"/>
      <c r="M16" s="37">
        <v>200000000</v>
      </c>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row>
    <row r="17" spans="1:157" x14ac:dyDescent="0.2">
      <c r="A17" s="1"/>
      <c r="B17" s="52"/>
      <c r="C17" s="53"/>
      <c r="D17" s="52"/>
      <c r="E17" s="52"/>
      <c r="F17" s="52"/>
      <c r="G17" s="61"/>
      <c r="H17" s="42"/>
      <c r="I17" s="52"/>
      <c r="J17" s="53"/>
      <c r="K17" s="52"/>
      <c r="L17" s="52"/>
      <c r="M17" s="37"/>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row>
    <row r="18" spans="1:157" x14ac:dyDescent="0.2">
      <c r="A18" s="1">
        <v>4</v>
      </c>
      <c r="B18" s="52" t="s">
        <v>472</v>
      </c>
      <c r="C18" s="53"/>
      <c r="D18" s="52"/>
      <c r="E18" s="52"/>
      <c r="F18" s="52"/>
      <c r="G18" s="61"/>
      <c r="H18" s="56" t="s">
        <v>1012</v>
      </c>
      <c r="I18" s="52"/>
      <c r="J18" s="53"/>
      <c r="K18" s="52"/>
      <c r="L18" s="52"/>
      <c r="M18" s="38">
        <f>+M20</f>
        <v>10054005000</v>
      </c>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row>
    <row r="19" spans="1:157" ht="39.75" customHeight="1" x14ac:dyDescent="0.2">
      <c r="A19" s="1">
        <v>5</v>
      </c>
      <c r="B19" s="52"/>
      <c r="C19" s="53"/>
      <c r="D19" s="52"/>
      <c r="E19" s="55">
        <v>199</v>
      </c>
      <c r="F19" s="52" t="s">
        <v>268</v>
      </c>
      <c r="G19" s="61"/>
      <c r="H19" s="42" t="s">
        <v>327</v>
      </c>
      <c r="I19" s="55">
        <v>25000</v>
      </c>
      <c r="J19" s="53" t="s">
        <v>524</v>
      </c>
      <c r="K19" s="55">
        <f>+K24+K25+K26+K27+K23+K21+K22</f>
        <v>3745</v>
      </c>
      <c r="L19" s="55">
        <f>+L24+L25+L26+L27+L23+L21+L22</f>
        <v>8180</v>
      </c>
      <c r="M19" s="54"/>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row>
    <row r="20" spans="1:157" x14ac:dyDescent="0.2">
      <c r="A20" s="1">
        <v>6</v>
      </c>
      <c r="B20" s="52" t="s">
        <v>857</v>
      </c>
      <c r="C20" s="53"/>
      <c r="D20" s="52"/>
      <c r="E20" s="52"/>
      <c r="F20" s="52"/>
      <c r="G20" s="61"/>
      <c r="H20" s="56" t="s">
        <v>596</v>
      </c>
      <c r="I20" s="52"/>
      <c r="J20" s="53"/>
      <c r="K20" s="52"/>
      <c r="L20" s="52"/>
      <c r="M20" s="38">
        <f>+M28+M30+M32</f>
        <v>10054005000</v>
      </c>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row>
    <row r="21" spans="1:157" ht="63.75" x14ac:dyDescent="0.2">
      <c r="A21" s="1"/>
      <c r="B21" s="52"/>
      <c r="C21" s="53"/>
      <c r="D21" s="52" t="s">
        <v>45</v>
      </c>
      <c r="E21" s="55">
        <v>204</v>
      </c>
      <c r="F21" s="52" t="s">
        <v>1080</v>
      </c>
      <c r="G21" s="61"/>
      <c r="H21" s="74" t="s">
        <v>916</v>
      </c>
      <c r="I21" s="55">
        <v>500</v>
      </c>
      <c r="J21" s="53" t="s">
        <v>524</v>
      </c>
      <c r="K21" s="55">
        <v>145</v>
      </c>
      <c r="L21" s="52" t="s">
        <v>1307</v>
      </c>
      <c r="M21" s="38"/>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row>
    <row r="22" spans="1:157" ht="51" x14ac:dyDescent="0.2">
      <c r="A22" s="1"/>
      <c r="B22" s="52"/>
      <c r="C22" s="53"/>
      <c r="D22" s="52" t="s">
        <v>45</v>
      </c>
      <c r="E22" s="55">
        <v>205</v>
      </c>
      <c r="F22" s="52" t="s">
        <v>1080</v>
      </c>
      <c r="G22" s="61"/>
      <c r="H22" s="42" t="s">
        <v>357</v>
      </c>
      <c r="I22" s="55">
        <v>3000</v>
      </c>
      <c r="J22" s="53" t="s">
        <v>524</v>
      </c>
      <c r="K22" s="55">
        <f>623+907</f>
        <v>1530</v>
      </c>
      <c r="L22" s="55">
        <v>1000</v>
      </c>
      <c r="M22" s="38"/>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row>
    <row r="23" spans="1:157" ht="51" x14ac:dyDescent="0.2">
      <c r="A23" s="1"/>
      <c r="B23" s="52"/>
      <c r="C23" s="53"/>
      <c r="D23" s="52" t="s">
        <v>45</v>
      </c>
      <c r="E23" s="55">
        <v>206</v>
      </c>
      <c r="F23" s="52" t="s">
        <v>1080</v>
      </c>
      <c r="G23" s="61"/>
      <c r="H23" s="42" t="s">
        <v>341</v>
      </c>
      <c r="I23" s="55">
        <v>5000</v>
      </c>
      <c r="J23" s="53" t="s">
        <v>524</v>
      </c>
      <c r="K23" s="55">
        <f>558+121</f>
        <v>679</v>
      </c>
      <c r="L23" s="55">
        <v>1500</v>
      </c>
      <c r="M23" s="38"/>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row>
    <row r="24" spans="1:157" ht="51" x14ac:dyDescent="0.2">
      <c r="A24" s="1">
        <v>7</v>
      </c>
      <c r="B24" s="52"/>
      <c r="C24" s="53"/>
      <c r="D24" s="52" t="s">
        <v>237</v>
      </c>
      <c r="E24" s="55">
        <v>207</v>
      </c>
      <c r="F24" s="52" t="s">
        <v>1080</v>
      </c>
      <c r="G24" s="61"/>
      <c r="H24" s="42" t="s">
        <v>370</v>
      </c>
      <c r="I24" s="55">
        <v>8000</v>
      </c>
      <c r="J24" s="53" t="s">
        <v>524</v>
      </c>
      <c r="K24" s="55">
        <f>540+228</f>
        <v>768</v>
      </c>
      <c r="L24" s="55">
        <v>2000</v>
      </c>
      <c r="M24" s="54"/>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row>
    <row r="25" spans="1:157" ht="51" x14ac:dyDescent="0.2">
      <c r="A25" s="1">
        <v>7</v>
      </c>
      <c r="B25" s="52"/>
      <c r="C25" s="53"/>
      <c r="D25" s="52" t="s">
        <v>237</v>
      </c>
      <c r="E25" s="55">
        <v>208</v>
      </c>
      <c r="F25" s="52" t="s">
        <v>1080</v>
      </c>
      <c r="G25" s="61"/>
      <c r="H25" s="42" t="s">
        <v>206</v>
      </c>
      <c r="I25" s="55">
        <v>1000</v>
      </c>
      <c r="J25" s="53" t="s">
        <v>524</v>
      </c>
      <c r="K25" s="55">
        <v>0</v>
      </c>
      <c r="L25" s="52" t="s">
        <v>1306</v>
      </c>
      <c r="M25" s="54"/>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row>
    <row r="26" spans="1:157" ht="39.75" customHeight="1" x14ac:dyDescent="0.2">
      <c r="A26" s="1">
        <v>7</v>
      </c>
      <c r="B26" s="52"/>
      <c r="C26" s="53"/>
      <c r="D26" s="52" t="s">
        <v>237</v>
      </c>
      <c r="E26" s="55">
        <v>209</v>
      </c>
      <c r="F26" s="52" t="s">
        <v>1080</v>
      </c>
      <c r="G26" s="61"/>
      <c r="H26" s="42" t="s">
        <v>494</v>
      </c>
      <c r="I26" s="55">
        <v>6600</v>
      </c>
      <c r="J26" s="53" t="s">
        <v>524</v>
      </c>
      <c r="K26" s="55">
        <f>172+451</f>
        <v>623</v>
      </c>
      <c r="L26" s="55">
        <v>2900</v>
      </c>
      <c r="M26" s="54"/>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row>
    <row r="27" spans="1:157" ht="25.5" x14ac:dyDescent="0.2">
      <c r="A27" s="1">
        <v>7</v>
      </c>
      <c r="B27" s="52"/>
      <c r="C27" s="53"/>
      <c r="D27" s="52" t="s">
        <v>237</v>
      </c>
      <c r="E27" s="55">
        <v>210</v>
      </c>
      <c r="F27" s="52" t="s">
        <v>1080</v>
      </c>
      <c r="G27" s="61"/>
      <c r="H27" s="42" t="s">
        <v>669</v>
      </c>
      <c r="I27" s="55">
        <v>500</v>
      </c>
      <c r="J27" s="53" t="s">
        <v>524</v>
      </c>
      <c r="K27" s="55">
        <v>0</v>
      </c>
      <c r="L27" s="52" t="s">
        <v>1284</v>
      </c>
      <c r="M27" s="54"/>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row>
    <row r="28" spans="1:157" ht="38.25" x14ac:dyDescent="0.2">
      <c r="A28" s="1">
        <v>8</v>
      </c>
      <c r="B28" s="52"/>
      <c r="C28" s="53" t="s">
        <v>10</v>
      </c>
      <c r="D28" s="52"/>
      <c r="E28" s="52"/>
      <c r="F28" s="52"/>
      <c r="G28" s="61">
        <v>296019</v>
      </c>
      <c r="H28" s="42" t="s">
        <v>272</v>
      </c>
      <c r="I28" s="52"/>
      <c r="J28" s="53"/>
      <c r="K28" s="52"/>
      <c r="L28" s="52"/>
      <c r="M28" s="37">
        <f>+M29</f>
        <v>1710000000</v>
      </c>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row>
    <row r="29" spans="1:157" x14ac:dyDescent="0.2">
      <c r="A29" s="1">
        <v>9</v>
      </c>
      <c r="B29" s="52"/>
      <c r="C29" s="53"/>
      <c r="D29" s="52"/>
      <c r="E29" s="52"/>
      <c r="F29" s="52"/>
      <c r="G29" s="61"/>
      <c r="H29" s="42" t="s">
        <v>835</v>
      </c>
      <c r="I29" s="52"/>
      <c r="J29" s="53"/>
      <c r="K29" s="52"/>
      <c r="L29" s="52"/>
      <c r="M29" s="37">
        <v>1710000000</v>
      </c>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row>
    <row r="30" spans="1:157" ht="63.75" x14ac:dyDescent="0.2">
      <c r="A30" s="1">
        <v>8</v>
      </c>
      <c r="B30" s="52"/>
      <c r="C30" s="53" t="s">
        <v>10</v>
      </c>
      <c r="D30" s="52"/>
      <c r="E30" s="52"/>
      <c r="F30" s="52"/>
      <c r="G30" s="61">
        <v>296021</v>
      </c>
      <c r="H30" s="42" t="s">
        <v>1009</v>
      </c>
      <c r="I30" s="52"/>
      <c r="J30" s="53"/>
      <c r="K30" s="52"/>
      <c r="L30" s="52"/>
      <c r="M30" s="37">
        <f>+M31</f>
        <v>2000000000</v>
      </c>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row>
    <row r="31" spans="1:157" x14ac:dyDescent="0.2">
      <c r="A31" s="1">
        <v>9</v>
      </c>
      <c r="B31" s="52"/>
      <c r="C31" s="53"/>
      <c r="D31" s="52"/>
      <c r="E31" s="52"/>
      <c r="F31" s="52"/>
      <c r="G31" s="61"/>
      <c r="H31" s="42" t="s">
        <v>835</v>
      </c>
      <c r="I31" s="52"/>
      <c r="J31" s="53"/>
      <c r="K31" s="52"/>
      <c r="L31" s="52"/>
      <c r="M31" s="37">
        <f>2700000000+300000000-1000000000</f>
        <v>2000000000</v>
      </c>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row>
    <row r="32" spans="1:157" ht="39.75" customHeight="1" x14ac:dyDescent="0.2">
      <c r="A32" s="1">
        <v>8</v>
      </c>
      <c r="B32" s="52"/>
      <c r="C32" s="53" t="s">
        <v>10</v>
      </c>
      <c r="D32" s="52"/>
      <c r="E32" s="52"/>
      <c r="F32" s="52"/>
      <c r="G32" s="61">
        <v>296020</v>
      </c>
      <c r="H32" s="42" t="s">
        <v>774</v>
      </c>
      <c r="I32" s="52"/>
      <c r="J32" s="53"/>
      <c r="K32" s="52"/>
      <c r="L32" s="52"/>
      <c r="M32" s="37">
        <f>+M33</f>
        <v>6344005000</v>
      </c>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row>
    <row r="33" spans="1:157" x14ac:dyDescent="0.2">
      <c r="A33" s="1">
        <v>9</v>
      </c>
      <c r="B33" s="52"/>
      <c r="C33" s="53"/>
      <c r="D33" s="52"/>
      <c r="E33" s="52"/>
      <c r="F33" s="52"/>
      <c r="G33" s="61"/>
      <c r="H33" s="42" t="s">
        <v>835</v>
      </c>
      <c r="I33" s="52"/>
      <c r="J33" s="53"/>
      <c r="K33" s="52"/>
      <c r="L33" s="52"/>
      <c r="M33" s="37">
        <f>9420000000+1300000000+2970000000+375000000-6000000000-1720995000</f>
        <v>6344005000</v>
      </c>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row>
    <row r="34" spans="1:157" x14ac:dyDescent="0.2">
      <c r="A34" s="1"/>
      <c r="B34" s="52"/>
      <c r="C34" s="53"/>
      <c r="D34" s="52"/>
      <c r="E34" s="52"/>
      <c r="F34" s="52"/>
      <c r="G34" s="61"/>
      <c r="H34" s="42"/>
      <c r="I34" s="52"/>
      <c r="J34" s="53"/>
      <c r="K34" s="52"/>
      <c r="L34" s="52"/>
      <c r="M34" s="37"/>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row>
    <row r="35" spans="1:157" ht="15" x14ac:dyDescent="0.25">
      <c r="A35" s="1">
        <v>10</v>
      </c>
      <c r="B35" s="52"/>
      <c r="C35" s="53"/>
      <c r="D35" s="52"/>
      <c r="E35" s="52"/>
      <c r="F35" s="52"/>
      <c r="G35" s="61"/>
      <c r="H35" s="58" t="s">
        <v>919</v>
      </c>
      <c r="I35" s="59"/>
      <c r="J35" s="58"/>
      <c r="K35" s="59"/>
      <c r="L35" s="59"/>
      <c r="M35" s="64">
        <f>+M10</f>
        <v>10254005000</v>
      </c>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row>
    <row r="36" spans="1:157" x14ac:dyDescent="0.2">
      <c r="A36" s="1"/>
      <c r="B36" s="52"/>
      <c r="C36" s="53"/>
      <c r="D36" s="52"/>
      <c r="E36" s="52"/>
      <c r="F36" s="52"/>
      <c r="G36" s="61"/>
      <c r="H36" s="42"/>
      <c r="I36" s="52"/>
      <c r="J36" s="53"/>
      <c r="K36" s="52"/>
      <c r="L36" s="52"/>
      <c r="M36" s="37"/>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row>
  </sheetData>
  <mergeCells count="1">
    <mergeCell ref="B2:M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38"/>
  <sheetViews>
    <sheetView topLeftCell="B11" zoomScale="80" zoomScaleNormal="80" workbookViewId="0">
      <selection activeCell="D19" sqref="B19:S57"/>
    </sheetView>
  </sheetViews>
  <sheetFormatPr baseColWidth="10" defaultColWidth="9.140625" defaultRowHeight="12.75" x14ac:dyDescent="0.2"/>
  <cols>
    <col min="1" max="1" width="13.42578125" hidden="1" customWidth="1"/>
    <col min="2" max="2" width="9.42578125" style="4" customWidth="1"/>
    <col min="3" max="3" width="15.42578125" style="3" customWidth="1"/>
    <col min="4" max="4" width="8.28515625" style="4" customWidth="1"/>
    <col min="5" max="5" width="9.140625" style="4"/>
    <col min="6" max="6" width="9.28515625" style="4" customWidth="1"/>
    <col min="7" max="7" width="10" style="4" customWidth="1"/>
    <col min="8" max="8" width="69.140625" style="2" customWidth="1"/>
    <col min="9" max="9" width="11.7109375" style="4" customWidth="1"/>
    <col min="10" max="10" width="16.28515625" style="3" customWidth="1"/>
    <col min="11" max="11" width="16" style="4" customWidth="1"/>
    <col min="12" max="12" width="11" style="4" customWidth="1"/>
    <col min="13" max="13" width="15.5703125" customWidth="1"/>
  </cols>
  <sheetData>
    <row r="1" spans="1:159" x14ac:dyDescent="0.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row>
    <row r="2" spans="1:159" ht="24" customHeight="1" x14ac:dyDescent="0.2">
      <c r="B2" s="185" t="s">
        <v>1103</v>
      </c>
      <c r="C2" s="185"/>
      <c r="D2" s="185"/>
      <c r="E2" s="185"/>
      <c r="F2" s="185"/>
      <c r="G2" s="185"/>
      <c r="H2" s="185"/>
      <c r="I2" s="185"/>
      <c r="J2" s="185"/>
      <c r="K2" s="185"/>
      <c r="L2" s="185"/>
      <c r="M2" s="185"/>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row>
    <row r="3" spans="1:159" x14ac:dyDescent="0.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row>
    <row r="4" spans="1:159" s="7" customFormat="1" ht="38.25" x14ac:dyDescent="0.2">
      <c r="A4" s="7" t="s">
        <v>641</v>
      </c>
      <c r="B4" s="10" t="s">
        <v>1100</v>
      </c>
      <c r="C4" s="10" t="s">
        <v>1092</v>
      </c>
      <c r="D4" s="9" t="s">
        <v>1091</v>
      </c>
      <c r="E4" s="71" t="s">
        <v>1097</v>
      </c>
      <c r="F4" s="71" t="s">
        <v>1098</v>
      </c>
      <c r="G4" s="106" t="s">
        <v>1093</v>
      </c>
      <c r="H4" s="71" t="s">
        <v>409</v>
      </c>
      <c r="I4" s="71" t="s">
        <v>1094</v>
      </c>
      <c r="J4" s="71" t="s">
        <v>1095</v>
      </c>
      <c r="K4" s="71" t="s">
        <v>1104</v>
      </c>
      <c r="L4" s="71" t="s">
        <v>1096</v>
      </c>
      <c r="M4" s="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3"/>
      <c r="ET4" s="33"/>
      <c r="EU4" s="33"/>
      <c r="EV4" s="33"/>
      <c r="EW4" s="33"/>
      <c r="EX4" s="33"/>
      <c r="EY4" s="33"/>
      <c r="EZ4" s="33"/>
      <c r="FA4" s="33"/>
      <c r="FB4" s="33"/>
      <c r="FC4" s="33"/>
    </row>
    <row r="5" spans="1:159" x14ac:dyDescent="0.2">
      <c r="E5" s="69"/>
      <c r="F5" s="69"/>
      <c r="G5" s="69"/>
      <c r="H5" s="36"/>
      <c r="I5" s="69"/>
      <c r="J5" s="70"/>
      <c r="K5" s="69"/>
      <c r="L5" s="69"/>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row>
    <row r="6" spans="1:159" x14ac:dyDescent="0.2">
      <c r="A6" s="1"/>
      <c r="B6" s="52"/>
      <c r="C6" s="53"/>
      <c r="D6" s="52"/>
      <c r="E6" s="52"/>
      <c r="F6" s="52"/>
      <c r="G6" s="61"/>
      <c r="H6" s="48"/>
      <c r="I6" s="49"/>
      <c r="J6" s="50"/>
      <c r="K6" s="49"/>
      <c r="L6" s="49"/>
      <c r="M6" s="38"/>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row>
    <row r="7" spans="1:159" ht="15.75" x14ac:dyDescent="0.2">
      <c r="A7" s="1">
        <v>0</v>
      </c>
      <c r="B7" s="52"/>
      <c r="C7" s="53"/>
      <c r="D7" s="52"/>
      <c r="E7" s="52"/>
      <c r="F7" s="52"/>
      <c r="G7" s="61"/>
      <c r="H7" s="51" t="s">
        <v>607</v>
      </c>
      <c r="I7" s="52"/>
      <c r="J7" s="53"/>
      <c r="K7" s="52"/>
      <c r="L7" s="52"/>
      <c r="M7" s="54"/>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row>
    <row r="8" spans="1:159" ht="15.75" x14ac:dyDescent="0.2">
      <c r="A8" s="1">
        <v>1</v>
      </c>
      <c r="B8" s="52"/>
      <c r="C8" s="53"/>
      <c r="D8" s="52"/>
      <c r="E8" s="52"/>
      <c r="F8" s="52"/>
      <c r="G8" s="61"/>
      <c r="H8" s="51" t="s">
        <v>430</v>
      </c>
      <c r="I8" s="52"/>
      <c r="J8" s="53"/>
      <c r="K8" s="52"/>
      <c r="L8" s="52"/>
      <c r="M8" s="54"/>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row>
    <row r="9" spans="1:159" x14ac:dyDescent="0.2">
      <c r="A9" s="1">
        <v>2</v>
      </c>
      <c r="B9" s="52"/>
      <c r="C9" s="53"/>
      <c r="D9" s="52"/>
      <c r="E9" s="52"/>
      <c r="F9" s="52"/>
      <c r="G9" s="61"/>
      <c r="H9" s="42"/>
      <c r="I9" s="52"/>
      <c r="J9" s="53"/>
      <c r="K9" s="52"/>
      <c r="L9" s="52"/>
      <c r="M9" s="54"/>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row>
    <row r="10" spans="1:159" s="7" customFormat="1" ht="25.5" x14ac:dyDescent="0.2">
      <c r="A10" s="6">
        <v>3</v>
      </c>
      <c r="B10" s="49" t="s">
        <v>841</v>
      </c>
      <c r="C10" s="50"/>
      <c r="D10" s="49"/>
      <c r="E10" s="49"/>
      <c r="F10" s="49"/>
      <c r="G10" s="62"/>
      <c r="H10" s="48" t="s">
        <v>165</v>
      </c>
      <c r="I10" s="49"/>
      <c r="J10" s="50"/>
      <c r="K10" s="49"/>
      <c r="L10" s="49"/>
      <c r="M10" s="38">
        <f>+M11</f>
        <v>50000000</v>
      </c>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row>
    <row r="11" spans="1:159" s="7" customFormat="1" ht="25.5" x14ac:dyDescent="0.2">
      <c r="A11" s="6">
        <v>4</v>
      </c>
      <c r="B11" s="49" t="s">
        <v>955</v>
      </c>
      <c r="C11" s="50"/>
      <c r="D11" s="49"/>
      <c r="E11" s="49"/>
      <c r="F11" s="49"/>
      <c r="G11" s="62"/>
      <c r="H11" s="48" t="s">
        <v>923</v>
      </c>
      <c r="I11" s="49"/>
      <c r="J11" s="50"/>
      <c r="K11" s="49"/>
      <c r="L11" s="49"/>
      <c r="M11" s="38">
        <f>+M13</f>
        <v>50000000</v>
      </c>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row>
    <row r="12" spans="1:159" ht="25.5" x14ac:dyDescent="0.2">
      <c r="A12" s="1">
        <v>5</v>
      </c>
      <c r="B12" s="52"/>
      <c r="C12" s="53"/>
      <c r="D12" s="52"/>
      <c r="E12" s="55">
        <v>617</v>
      </c>
      <c r="F12" s="52" t="s">
        <v>268</v>
      </c>
      <c r="G12" s="61"/>
      <c r="H12" s="42" t="s">
        <v>51</v>
      </c>
      <c r="I12" s="55">
        <v>92</v>
      </c>
      <c r="J12" s="53" t="s">
        <v>286</v>
      </c>
      <c r="K12" s="55"/>
      <c r="L12" s="52"/>
      <c r="M12" s="54"/>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row>
    <row r="13" spans="1:159" s="7" customFormat="1" ht="25.5" x14ac:dyDescent="0.2">
      <c r="A13" s="6">
        <v>6</v>
      </c>
      <c r="B13" s="49" t="s">
        <v>857</v>
      </c>
      <c r="C13" s="50"/>
      <c r="D13" s="49"/>
      <c r="E13" s="49"/>
      <c r="F13" s="49"/>
      <c r="G13" s="62"/>
      <c r="H13" s="56" t="s">
        <v>636</v>
      </c>
      <c r="I13" s="49"/>
      <c r="J13" s="50"/>
      <c r="K13" s="49"/>
      <c r="L13" s="49"/>
      <c r="M13" s="38">
        <f>+M15</f>
        <v>50000000</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row>
    <row r="14" spans="1:159" ht="25.5" x14ac:dyDescent="0.2">
      <c r="A14" s="1">
        <v>7</v>
      </c>
      <c r="B14" s="52"/>
      <c r="C14" s="53"/>
      <c r="D14" s="52" t="s">
        <v>597</v>
      </c>
      <c r="E14" s="55">
        <v>543</v>
      </c>
      <c r="F14" s="52" t="s">
        <v>1080</v>
      </c>
      <c r="G14" s="61"/>
      <c r="H14" s="42" t="s">
        <v>396</v>
      </c>
      <c r="I14" s="55">
        <v>6000</v>
      </c>
      <c r="J14" s="53" t="s">
        <v>432</v>
      </c>
      <c r="K14" s="55">
        <v>147</v>
      </c>
      <c r="L14" s="52" t="s">
        <v>1225</v>
      </c>
      <c r="M14" s="54"/>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row>
    <row r="15" spans="1:159" ht="38.25" x14ac:dyDescent="0.2">
      <c r="A15" s="1">
        <v>8</v>
      </c>
      <c r="B15" s="52"/>
      <c r="C15" s="53" t="s">
        <v>10</v>
      </c>
      <c r="D15" s="52"/>
      <c r="E15" s="52"/>
      <c r="F15" s="52"/>
      <c r="G15" s="61">
        <v>296004</v>
      </c>
      <c r="H15" s="42" t="s">
        <v>877</v>
      </c>
      <c r="I15" s="52"/>
      <c r="J15" s="53"/>
      <c r="K15" s="52"/>
      <c r="L15" s="52"/>
      <c r="M15" s="37">
        <f>+M16</f>
        <v>50000000</v>
      </c>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row>
    <row r="16" spans="1:159" s="9" customFormat="1" x14ac:dyDescent="0.2">
      <c r="A16" s="8">
        <v>9</v>
      </c>
      <c r="B16" s="49"/>
      <c r="C16" s="50"/>
      <c r="D16" s="49"/>
      <c r="E16" s="49"/>
      <c r="F16" s="49"/>
      <c r="G16" s="62"/>
      <c r="H16" s="47" t="s">
        <v>835</v>
      </c>
      <c r="I16" s="49"/>
      <c r="J16" s="50"/>
      <c r="K16" s="49"/>
      <c r="L16" s="49"/>
      <c r="M16" s="57">
        <v>50000000</v>
      </c>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row>
    <row r="17" spans="1:159" s="9" customFormat="1" x14ac:dyDescent="0.2">
      <c r="A17" s="8"/>
      <c r="B17" s="49"/>
      <c r="C17" s="50"/>
      <c r="D17" s="49"/>
      <c r="E17" s="49"/>
      <c r="F17" s="49"/>
      <c r="G17" s="62"/>
      <c r="H17" s="47"/>
      <c r="I17" s="49"/>
      <c r="J17" s="50"/>
      <c r="K17" s="49"/>
      <c r="L17" s="49"/>
      <c r="M17" s="57"/>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row>
    <row r="18" spans="1:159" s="9" customFormat="1" ht="15" x14ac:dyDescent="0.2">
      <c r="A18" s="8">
        <v>10</v>
      </c>
      <c r="B18" s="49"/>
      <c r="C18" s="50"/>
      <c r="D18" s="49"/>
      <c r="E18" s="49"/>
      <c r="F18" s="49"/>
      <c r="G18" s="62"/>
      <c r="H18" s="58" t="s">
        <v>307</v>
      </c>
      <c r="I18" s="59"/>
      <c r="J18" s="58"/>
      <c r="K18" s="59"/>
      <c r="L18" s="59"/>
      <c r="M18" s="60">
        <f>+M10</f>
        <v>50000000</v>
      </c>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row>
    <row r="20" spans="1:159" x14ac:dyDescent="0.2">
      <c r="B20" s="73"/>
      <c r="C20" s="73"/>
      <c r="D20" s="73"/>
      <c r="E20" s="73"/>
      <c r="F20" s="73"/>
      <c r="G20" s="73"/>
      <c r="H20" s="73"/>
      <c r="I20" s="73"/>
    </row>
    <row r="21" spans="1:159" x14ac:dyDescent="0.2">
      <c r="B21" s="52"/>
      <c r="C21" s="53"/>
      <c r="D21" s="52"/>
      <c r="E21" s="52"/>
      <c r="F21" s="52"/>
      <c r="G21" s="61"/>
      <c r="H21" s="48"/>
      <c r="I21" s="49"/>
    </row>
    <row r="28" spans="1:159" x14ac:dyDescent="0.2">
      <c r="B28" s="9"/>
      <c r="C28" s="10"/>
      <c r="D28" s="9"/>
      <c r="E28" s="9"/>
      <c r="F28" s="9"/>
      <c r="G28" s="9"/>
      <c r="H28" s="72"/>
      <c r="I28" s="9"/>
      <c r="M28" s="1"/>
    </row>
    <row r="29" spans="1:159" x14ac:dyDescent="0.2">
      <c r="B29" s="186"/>
      <c r="C29" s="186"/>
      <c r="D29" s="186"/>
      <c r="E29" s="186"/>
      <c r="F29" s="186"/>
      <c r="G29" s="186"/>
      <c r="H29" s="186"/>
      <c r="I29" s="186"/>
    </row>
    <row r="30" spans="1:159" x14ac:dyDescent="0.2">
      <c r="B30" s="186"/>
      <c r="C30" s="186"/>
      <c r="D30" s="186"/>
      <c r="E30" s="186"/>
      <c r="F30" s="186"/>
      <c r="G30" s="186"/>
      <c r="H30" s="186"/>
      <c r="I30" s="186"/>
    </row>
    <row r="35" spans="8:13" x14ac:dyDescent="0.2">
      <c r="H35" s="72"/>
      <c r="M35" s="6"/>
    </row>
    <row r="36" spans="8:13" x14ac:dyDescent="0.2">
      <c r="M36" s="7"/>
    </row>
    <row r="37" spans="8:13" x14ac:dyDescent="0.2">
      <c r="M37" s="7"/>
    </row>
    <row r="38" spans="8:13" x14ac:dyDescent="0.2">
      <c r="H38" s="72"/>
      <c r="M38" s="7"/>
    </row>
  </sheetData>
  <mergeCells count="3">
    <mergeCell ref="B2:M2"/>
    <mergeCell ref="B29:I29"/>
    <mergeCell ref="B30:I30"/>
  </mergeCells>
  <pageMargins left="0.74803149606299213" right="0.74803149606299213" top="0.98425196850393704" bottom="0.98425196850393704" header="0.51181102362204722" footer="0.51181102362204722"/>
  <pageSetup paperSize="5"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6"/>
  <sheetViews>
    <sheetView topLeftCell="B1" zoomScale="80" zoomScaleNormal="80" workbookViewId="0">
      <pane xSplit="11" ySplit="5" topLeftCell="M306" activePane="bottomRight" state="frozen"/>
      <selection activeCell="B1" sqref="B1"/>
      <selection pane="topRight" activeCell="M1" sqref="M1"/>
      <selection pane="bottomLeft" activeCell="B6" sqref="B6"/>
      <selection pane="bottomRight" activeCell="B316" sqref="B316:K372"/>
    </sheetView>
  </sheetViews>
  <sheetFormatPr baseColWidth="10" defaultColWidth="9.140625" defaultRowHeight="12.75" x14ac:dyDescent="0.2"/>
  <cols>
    <col min="1" max="1" width="13.42578125" hidden="1" customWidth="1"/>
    <col min="2" max="2" width="9.42578125" style="4" customWidth="1"/>
    <col min="3" max="3" width="18" style="3" customWidth="1"/>
    <col min="4" max="4" width="11.140625" style="4" customWidth="1"/>
    <col min="5" max="5" width="9.140625" style="4"/>
    <col min="6" max="6" width="12.85546875" style="4" customWidth="1"/>
    <col min="7" max="7" width="10" style="4" customWidth="1"/>
    <col min="8" max="8" width="60.5703125" style="182" customWidth="1"/>
    <col min="9" max="9" width="11.7109375" style="4" customWidth="1"/>
    <col min="10" max="10" width="16.28515625" style="3" customWidth="1"/>
    <col min="11" max="11" width="16" style="4" customWidth="1"/>
    <col min="12" max="12" width="11" style="4" customWidth="1"/>
    <col min="13" max="13" width="20.28515625" customWidth="1"/>
  </cols>
  <sheetData>
    <row r="1" spans="2:28" x14ac:dyDescent="0.2">
      <c r="B1" s="69"/>
      <c r="C1" s="70"/>
      <c r="D1" s="69"/>
      <c r="E1" s="69"/>
      <c r="F1" s="69"/>
      <c r="G1" s="69"/>
      <c r="H1" s="181"/>
      <c r="I1" s="69"/>
      <c r="J1" s="70"/>
      <c r="K1" s="69"/>
      <c r="L1" s="69"/>
      <c r="M1" s="32"/>
      <c r="N1" s="37"/>
      <c r="O1" s="32"/>
      <c r="P1" s="32"/>
      <c r="Q1" s="32"/>
      <c r="R1" s="32"/>
      <c r="S1" s="32"/>
      <c r="T1" s="32"/>
      <c r="U1" s="32"/>
      <c r="V1" s="32"/>
      <c r="W1" s="32"/>
      <c r="X1" s="32"/>
      <c r="Y1" s="32"/>
      <c r="Z1" s="32"/>
      <c r="AA1" s="32"/>
      <c r="AB1" s="32"/>
    </row>
    <row r="2" spans="2:28" ht="15.75" x14ac:dyDescent="0.2">
      <c r="B2" s="187" t="s">
        <v>1103</v>
      </c>
      <c r="C2" s="187"/>
      <c r="D2" s="187"/>
      <c r="E2" s="187"/>
      <c r="F2" s="187"/>
      <c r="G2" s="187"/>
      <c r="H2" s="187"/>
      <c r="I2" s="187"/>
      <c r="J2" s="187"/>
      <c r="K2" s="187"/>
      <c r="L2" s="187"/>
      <c r="M2" s="187"/>
      <c r="N2" s="37"/>
      <c r="O2" s="32"/>
      <c r="P2" s="32"/>
      <c r="Q2" s="32"/>
      <c r="R2" s="32"/>
      <c r="S2" s="32"/>
      <c r="T2" s="32"/>
      <c r="U2" s="32"/>
      <c r="V2" s="32"/>
      <c r="W2" s="32"/>
      <c r="X2" s="32"/>
      <c r="Y2" s="32"/>
      <c r="Z2" s="32"/>
      <c r="AA2" s="32"/>
      <c r="AB2" s="32"/>
    </row>
    <row r="3" spans="2:28" x14ac:dyDescent="0.2">
      <c r="B3" s="69"/>
      <c r="C3" s="70"/>
      <c r="D3" s="69"/>
      <c r="E3" s="69"/>
      <c r="F3" s="69"/>
      <c r="G3" s="69"/>
      <c r="H3" s="181"/>
      <c r="I3" s="69"/>
      <c r="J3" s="70"/>
      <c r="K3" s="69"/>
      <c r="L3" s="69"/>
      <c r="M3" s="32"/>
      <c r="N3" s="37"/>
      <c r="O3" s="32"/>
      <c r="P3" s="32"/>
      <c r="Q3" s="32"/>
      <c r="R3" s="32"/>
      <c r="S3" s="32"/>
      <c r="T3" s="32"/>
      <c r="U3" s="32"/>
      <c r="V3" s="32"/>
      <c r="W3" s="32"/>
      <c r="X3" s="32"/>
      <c r="Y3" s="32"/>
      <c r="Z3" s="32"/>
      <c r="AA3" s="32"/>
      <c r="AB3" s="32"/>
    </row>
    <row r="4" spans="2:28" ht="105.75" customHeight="1" x14ac:dyDescent="0.2">
      <c r="B4" s="71" t="s">
        <v>1100</v>
      </c>
      <c r="C4" s="71" t="s">
        <v>1092</v>
      </c>
      <c r="D4" s="35" t="s">
        <v>1091</v>
      </c>
      <c r="E4" s="71" t="s">
        <v>1097</v>
      </c>
      <c r="F4" s="35" t="s">
        <v>1098</v>
      </c>
      <c r="G4" s="35" t="s">
        <v>1093</v>
      </c>
      <c r="H4" s="107" t="s">
        <v>409</v>
      </c>
      <c r="I4" s="71" t="s">
        <v>1094</v>
      </c>
      <c r="J4" s="71" t="s">
        <v>1095</v>
      </c>
      <c r="K4" s="71" t="s">
        <v>1104</v>
      </c>
      <c r="L4" s="71" t="s">
        <v>1096</v>
      </c>
      <c r="M4" s="71" t="s">
        <v>1099</v>
      </c>
      <c r="N4" s="41"/>
      <c r="O4" s="34"/>
      <c r="P4" s="34"/>
      <c r="Q4" s="34"/>
      <c r="R4" s="34"/>
      <c r="S4" s="34"/>
      <c r="T4" s="34"/>
      <c r="U4" s="34"/>
      <c r="V4" s="34"/>
      <c r="W4" s="34"/>
      <c r="X4" s="34"/>
      <c r="Y4" s="34"/>
      <c r="Z4" s="34"/>
      <c r="AA4" s="34"/>
      <c r="AB4" s="34"/>
    </row>
    <row r="5" spans="2:28" x14ac:dyDescent="0.2">
      <c r="B5" s="52"/>
      <c r="C5" s="53"/>
      <c r="D5" s="52"/>
      <c r="E5" s="52"/>
      <c r="F5" s="52"/>
      <c r="G5" s="61"/>
      <c r="H5" s="46"/>
      <c r="I5" s="52"/>
      <c r="J5" s="53"/>
      <c r="K5" s="52"/>
      <c r="L5" s="52"/>
      <c r="M5" s="37"/>
      <c r="N5" s="37"/>
      <c r="O5" s="32"/>
      <c r="P5" s="32"/>
      <c r="Q5" s="32"/>
      <c r="R5" s="32"/>
      <c r="S5" s="32"/>
      <c r="T5" s="32"/>
      <c r="U5" s="32"/>
      <c r="V5" s="32"/>
      <c r="W5" s="32"/>
      <c r="X5" s="32"/>
      <c r="Y5" s="32"/>
      <c r="Z5" s="32"/>
      <c r="AA5" s="32"/>
      <c r="AB5" s="32"/>
    </row>
    <row r="6" spans="2:28" ht="15.75" x14ac:dyDescent="0.2">
      <c r="B6" s="52"/>
      <c r="C6" s="53"/>
      <c r="D6" s="52"/>
      <c r="E6" s="52"/>
      <c r="F6" s="52"/>
      <c r="G6" s="61"/>
      <c r="H6" s="113" t="s">
        <v>416</v>
      </c>
      <c r="I6" s="52"/>
      <c r="J6" s="53"/>
      <c r="K6" s="52"/>
      <c r="L6" s="52"/>
      <c r="M6" s="54"/>
      <c r="N6" s="37"/>
      <c r="O6" s="32"/>
      <c r="P6" s="32"/>
      <c r="Q6" s="32"/>
      <c r="R6" s="32"/>
      <c r="S6" s="32"/>
      <c r="T6" s="32"/>
      <c r="U6" s="32"/>
      <c r="V6" s="32"/>
      <c r="W6" s="32"/>
      <c r="X6" s="32"/>
      <c r="Y6" s="32"/>
      <c r="Z6" s="32"/>
      <c r="AA6" s="32"/>
      <c r="AB6" s="32"/>
    </row>
    <row r="7" spans="2:28" ht="31.5" x14ac:dyDescent="0.2">
      <c r="B7" s="52"/>
      <c r="C7" s="53"/>
      <c r="D7" s="52"/>
      <c r="E7" s="52"/>
      <c r="F7" s="52"/>
      <c r="G7" s="61"/>
      <c r="H7" s="113" t="s">
        <v>975</v>
      </c>
      <c r="I7" s="52"/>
      <c r="J7" s="53"/>
      <c r="K7" s="52"/>
      <c r="L7" s="52"/>
      <c r="M7" s="54"/>
      <c r="N7" s="37"/>
      <c r="O7" s="32"/>
      <c r="P7" s="32"/>
      <c r="Q7" s="32"/>
      <c r="R7" s="32"/>
      <c r="S7" s="32"/>
      <c r="T7" s="32"/>
      <c r="U7" s="32"/>
      <c r="V7" s="32"/>
      <c r="W7" s="32"/>
      <c r="X7" s="32"/>
      <c r="Y7" s="32"/>
      <c r="Z7" s="32"/>
      <c r="AA7" s="32"/>
      <c r="AB7" s="32"/>
    </row>
    <row r="8" spans="2:28" x14ac:dyDescent="0.2">
      <c r="B8" s="52"/>
      <c r="C8" s="53"/>
      <c r="D8" s="52"/>
      <c r="E8" s="52"/>
      <c r="F8" s="52"/>
      <c r="G8" s="61"/>
      <c r="H8" s="46"/>
      <c r="I8" s="52"/>
      <c r="J8" s="53"/>
      <c r="K8" s="52"/>
      <c r="L8" s="52"/>
      <c r="M8" s="54"/>
      <c r="N8" s="37"/>
      <c r="O8" s="32"/>
      <c r="P8" s="32"/>
      <c r="Q8" s="32"/>
      <c r="R8" s="32"/>
      <c r="S8" s="32"/>
      <c r="T8" s="32"/>
      <c r="U8" s="32"/>
      <c r="V8" s="32"/>
      <c r="W8" s="32"/>
      <c r="X8" s="32"/>
      <c r="Y8" s="32"/>
      <c r="Z8" s="32"/>
      <c r="AA8" s="32"/>
      <c r="AB8" s="32"/>
    </row>
    <row r="9" spans="2:28" x14ac:dyDescent="0.2">
      <c r="B9" s="52"/>
      <c r="C9" s="53"/>
      <c r="D9" s="52"/>
      <c r="E9" s="52"/>
      <c r="F9" s="52"/>
      <c r="G9" s="61"/>
      <c r="H9" s="45" t="s">
        <v>110</v>
      </c>
      <c r="I9" s="52"/>
      <c r="J9" s="53"/>
      <c r="K9" s="52"/>
      <c r="L9" s="52"/>
      <c r="M9" s="38">
        <f>+M10+M142</f>
        <v>22284378000</v>
      </c>
      <c r="N9" s="37"/>
      <c r="O9" s="32"/>
      <c r="P9" s="32"/>
      <c r="Q9" s="32"/>
      <c r="R9" s="32"/>
      <c r="S9" s="32"/>
      <c r="T9" s="32"/>
      <c r="U9" s="32"/>
      <c r="V9" s="32"/>
      <c r="W9" s="32"/>
      <c r="X9" s="32"/>
      <c r="Y9" s="32"/>
      <c r="Z9" s="32"/>
      <c r="AA9" s="32"/>
      <c r="AB9" s="32"/>
    </row>
    <row r="10" spans="2:28" x14ac:dyDescent="0.2">
      <c r="B10" s="52" t="s">
        <v>301</v>
      </c>
      <c r="C10" s="53"/>
      <c r="D10" s="52"/>
      <c r="E10" s="52"/>
      <c r="F10" s="52"/>
      <c r="G10" s="61"/>
      <c r="H10" s="116" t="s">
        <v>981</v>
      </c>
      <c r="I10" s="52"/>
      <c r="J10" s="53"/>
      <c r="K10" s="52"/>
      <c r="L10" s="52"/>
      <c r="M10" s="38">
        <f>+M11+M29+M41+M53+M72+M84+M95+M109</f>
        <v>15889087600</v>
      </c>
      <c r="N10" s="37"/>
      <c r="O10" s="32"/>
      <c r="P10" s="32"/>
      <c r="Q10" s="32"/>
      <c r="R10" s="32"/>
      <c r="S10" s="32"/>
      <c r="T10" s="32"/>
      <c r="U10" s="32"/>
      <c r="V10" s="32"/>
      <c r="W10" s="32"/>
      <c r="X10" s="32"/>
      <c r="Y10" s="32"/>
      <c r="Z10" s="32"/>
      <c r="AA10" s="32"/>
      <c r="AB10" s="32"/>
    </row>
    <row r="11" spans="2:28" x14ac:dyDescent="0.2">
      <c r="B11" s="52" t="s">
        <v>857</v>
      </c>
      <c r="C11" s="53"/>
      <c r="D11" s="52"/>
      <c r="E11" s="52"/>
      <c r="F11" s="52"/>
      <c r="G11" s="61"/>
      <c r="H11" s="116" t="s">
        <v>387</v>
      </c>
      <c r="I11" s="52"/>
      <c r="J11" s="53"/>
      <c r="K11" s="52"/>
      <c r="L11" s="52"/>
      <c r="M11" s="38">
        <f>+M16</f>
        <v>4424000000</v>
      </c>
      <c r="N11" s="37"/>
      <c r="O11" s="32"/>
      <c r="P11" s="32"/>
      <c r="Q11" s="32"/>
      <c r="R11" s="32"/>
      <c r="S11" s="32"/>
      <c r="T11" s="32"/>
      <c r="U11" s="32"/>
      <c r="V11" s="32"/>
      <c r="W11" s="32"/>
      <c r="X11" s="32"/>
      <c r="Y11" s="32"/>
      <c r="Z11" s="32"/>
      <c r="AA11" s="32"/>
      <c r="AB11" s="32"/>
    </row>
    <row r="12" spans="2:28" ht="25.5" x14ac:dyDescent="0.2">
      <c r="B12" s="52"/>
      <c r="C12" s="53"/>
      <c r="D12" s="52"/>
      <c r="E12" s="55">
        <v>3</v>
      </c>
      <c r="F12" s="52" t="s">
        <v>268</v>
      </c>
      <c r="G12" s="61"/>
      <c r="H12" s="46" t="s">
        <v>778</v>
      </c>
      <c r="I12" s="76">
        <v>0.8</v>
      </c>
      <c r="J12" s="53" t="s">
        <v>356</v>
      </c>
      <c r="K12" s="55" t="s">
        <v>1470</v>
      </c>
      <c r="L12" s="52" t="s">
        <v>1182</v>
      </c>
      <c r="M12" s="54"/>
      <c r="N12" s="37"/>
      <c r="O12" s="32"/>
      <c r="P12" s="32"/>
      <c r="Q12" s="32"/>
      <c r="R12" s="32"/>
      <c r="S12" s="32"/>
      <c r="T12" s="32"/>
      <c r="U12" s="32"/>
      <c r="V12" s="32"/>
      <c r="W12" s="32"/>
      <c r="X12" s="32"/>
      <c r="Y12" s="32"/>
      <c r="Z12" s="32"/>
      <c r="AA12" s="32"/>
      <c r="AB12" s="32"/>
    </row>
    <row r="13" spans="2:28" ht="38.25" x14ac:dyDescent="0.2">
      <c r="B13" s="189"/>
      <c r="C13" s="190"/>
      <c r="D13" s="189"/>
      <c r="E13" s="196">
        <v>4</v>
      </c>
      <c r="F13" s="189" t="s">
        <v>268</v>
      </c>
      <c r="G13" s="195"/>
      <c r="H13" s="80" t="s">
        <v>1054</v>
      </c>
      <c r="I13" s="197">
        <v>1.56</v>
      </c>
      <c r="J13" s="190" t="s">
        <v>4</v>
      </c>
      <c r="K13" s="196" t="s">
        <v>1471</v>
      </c>
      <c r="L13" s="189" t="s">
        <v>1203</v>
      </c>
      <c r="M13" s="194"/>
      <c r="N13" s="37"/>
      <c r="O13" s="32"/>
      <c r="P13" s="32"/>
      <c r="Q13" s="32"/>
      <c r="R13" s="32"/>
      <c r="S13" s="32"/>
      <c r="T13" s="32"/>
      <c r="U13" s="32"/>
      <c r="V13" s="32"/>
      <c r="W13" s="32"/>
      <c r="X13" s="32"/>
      <c r="Y13" s="32"/>
      <c r="Z13" s="32"/>
      <c r="AA13" s="32"/>
      <c r="AB13" s="32"/>
    </row>
    <row r="14" spans="2:28" ht="51" x14ac:dyDescent="0.2">
      <c r="B14" s="189"/>
      <c r="C14" s="190"/>
      <c r="D14" s="189"/>
      <c r="E14" s="196">
        <v>5</v>
      </c>
      <c r="F14" s="189" t="s">
        <v>268</v>
      </c>
      <c r="G14" s="195"/>
      <c r="H14" s="80" t="s">
        <v>1204</v>
      </c>
      <c r="I14" s="197">
        <v>0.03</v>
      </c>
      <c r="J14" s="190" t="s">
        <v>1205</v>
      </c>
      <c r="K14" s="196" t="s">
        <v>1186</v>
      </c>
      <c r="L14" s="189" t="s">
        <v>1186</v>
      </c>
      <c r="M14" s="194"/>
      <c r="N14" s="37"/>
      <c r="O14" s="32"/>
      <c r="P14" s="32"/>
      <c r="Q14" s="32"/>
      <c r="R14" s="32"/>
      <c r="S14" s="32"/>
      <c r="T14" s="32"/>
      <c r="U14" s="32"/>
      <c r="V14" s="32"/>
      <c r="W14" s="32"/>
      <c r="X14" s="32"/>
      <c r="Y14" s="32"/>
      <c r="Z14" s="32"/>
      <c r="AA14" s="32"/>
      <c r="AB14" s="32"/>
    </row>
    <row r="15" spans="2:28" ht="25.5" x14ac:dyDescent="0.2">
      <c r="B15" s="189"/>
      <c r="C15" s="190"/>
      <c r="D15" s="189"/>
      <c r="E15" s="189" t="s">
        <v>1180</v>
      </c>
      <c r="F15" s="189" t="s">
        <v>268</v>
      </c>
      <c r="G15" s="195"/>
      <c r="H15" s="80" t="s">
        <v>1206</v>
      </c>
      <c r="I15" s="189" t="s">
        <v>1207</v>
      </c>
      <c r="J15" s="190" t="s">
        <v>356</v>
      </c>
      <c r="K15" s="189" t="s">
        <v>1301</v>
      </c>
      <c r="L15" s="189" t="s">
        <v>301</v>
      </c>
      <c r="M15" s="183"/>
      <c r="N15" s="37"/>
      <c r="O15" s="32"/>
      <c r="P15" s="32"/>
      <c r="Q15" s="32"/>
      <c r="R15" s="32"/>
      <c r="S15" s="32"/>
      <c r="T15" s="32"/>
      <c r="U15" s="32"/>
      <c r="V15" s="32"/>
      <c r="W15" s="32"/>
      <c r="X15" s="32"/>
      <c r="Y15" s="32"/>
      <c r="Z15" s="32"/>
      <c r="AA15" s="32"/>
      <c r="AB15" s="32"/>
    </row>
    <row r="16" spans="2:28" x14ac:dyDescent="0.2">
      <c r="B16" s="215" t="s">
        <v>857</v>
      </c>
      <c r="C16" s="193"/>
      <c r="D16" s="192"/>
      <c r="E16" s="192"/>
      <c r="F16" s="192"/>
      <c r="G16" s="192"/>
      <c r="H16" s="173" t="s">
        <v>839</v>
      </c>
      <c r="I16" s="192"/>
      <c r="J16" s="193"/>
      <c r="K16" s="192"/>
      <c r="L16" s="192"/>
      <c r="M16" s="91">
        <f>+M21+M24</f>
        <v>4424000000</v>
      </c>
      <c r="N16" s="37"/>
      <c r="O16" s="32"/>
      <c r="P16" s="32"/>
      <c r="Q16" s="32"/>
      <c r="R16" s="32"/>
      <c r="S16" s="32"/>
      <c r="T16" s="32"/>
      <c r="U16" s="32"/>
      <c r="V16" s="32"/>
      <c r="W16" s="32"/>
      <c r="X16" s="32"/>
      <c r="Y16" s="32"/>
      <c r="Z16" s="32"/>
      <c r="AA16" s="32"/>
      <c r="AB16" s="32"/>
    </row>
    <row r="17" spans="2:28" ht="25.5" x14ac:dyDescent="0.2">
      <c r="B17" s="215"/>
      <c r="C17" s="193"/>
      <c r="D17" s="189" t="s">
        <v>82</v>
      </c>
      <c r="E17" s="196">
        <v>11</v>
      </c>
      <c r="F17" s="189" t="s">
        <v>1080</v>
      </c>
      <c r="G17" s="195"/>
      <c r="H17" s="80" t="s">
        <v>856</v>
      </c>
      <c r="I17" s="196">
        <v>24000</v>
      </c>
      <c r="J17" s="190" t="s">
        <v>1073</v>
      </c>
      <c r="K17" s="196">
        <v>7804</v>
      </c>
      <c r="L17" s="196">
        <v>8000</v>
      </c>
      <c r="M17" s="91"/>
      <c r="N17" s="37"/>
      <c r="O17" s="32"/>
      <c r="P17" s="32"/>
      <c r="Q17" s="32"/>
      <c r="R17" s="32"/>
      <c r="S17" s="32"/>
      <c r="T17" s="32"/>
      <c r="U17" s="32"/>
      <c r="V17" s="32"/>
      <c r="W17" s="32"/>
      <c r="X17" s="32"/>
      <c r="Y17" s="32"/>
      <c r="Z17" s="32"/>
      <c r="AA17" s="32"/>
      <c r="AB17" s="32"/>
    </row>
    <row r="18" spans="2:28" ht="38.25" x14ac:dyDescent="0.2">
      <c r="B18" s="215"/>
      <c r="C18" s="193"/>
      <c r="D18" s="189" t="s">
        <v>241</v>
      </c>
      <c r="E18" s="196">
        <v>12</v>
      </c>
      <c r="F18" s="189" t="s">
        <v>1080</v>
      </c>
      <c r="G18" s="195"/>
      <c r="H18" s="80" t="s">
        <v>1005</v>
      </c>
      <c r="I18" s="196">
        <v>100</v>
      </c>
      <c r="J18" s="190" t="s">
        <v>614</v>
      </c>
      <c r="K18" s="196">
        <v>0</v>
      </c>
      <c r="L18" s="189" t="s">
        <v>1209</v>
      </c>
      <c r="M18" s="91"/>
      <c r="N18" s="37"/>
      <c r="O18" s="32"/>
      <c r="P18" s="32"/>
      <c r="Q18" s="32"/>
      <c r="R18" s="32"/>
      <c r="S18" s="32"/>
      <c r="T18" s="32"/>
      <c r="U18" s="32"/>
      <c r="V18" s="32"/>
      <c r="W18" s="32"/>
      <c r="X18" s="32"/>
      <c r="Y18" s="32"/>
      <c r="Z18" s="32"/>
      <c r="AA18" s="32"/>
      <c r="AB18" s="32"/>
    </row>
    <row r="19" spans="2:28" ht="25.5" x14ac:dyDescent="0.2">
      <c r="B19" s="189"/>
      <c r="C19" s="190"/>
      <c r="D19" s="189" t="s">
        <v>82</v>
      </c>
      <c r="E19" s="196">
        <v>13</v>
      </c>
      <c r="F19" s="189" t="s">
        <v>1080</v>
      </c>
      <c r="G19" s="195"/>
      <c r="H19" s="80" t="s">
        <v>938</v>
      </c>
      <c r="I19" s="196">
        <v>95</v>
      </c>
      <c r="J19" s="190" t="s">
        <v>177</v>
      </c>
      <c r="K19" s="196">
        <v>61</v>
      </c>
      <c r="L19" s="189" t="s">
        <v>1208</v>
      </c>
      <c r="M19" s="194"/>
      <c r="N19" s="37"/>
      <c r="O19" s="32"/>
      <c r="P19" s="32"/>
      <c r="Q19" s="32"/>
      <c r="R19" s="32"/>
      <c r="S19" s="32"/>
      <c r="T19" s="32"/>
      <c r="U19" s="32"/>
      <c r="V19" s="32"/>
      <c r="W19" s="32"/>
      <c r="X19" s="32"/>
      <c r="Y19" s="32"/>
      <c r="Z19" s="32"/>
      <c r="AA19" s="32"/>
      <c r="AB19" s="32"/>
    </row>
    <row r="20" spans="2:28" ht="25.5" x14ac:dyDescent="0.2">
      <c r="B20" s="189"/>
      <c r="C20" s="190"/>
      <c r="D20" s="189" t="s">
        <v>241</v>
      </c>
      <c r="E20" s="196">
        <v>14</v>
      </c>
      <c r="F20" s="189" t="s">
        <v>1080</v>
      </c>
      <c r="G20" s="195"/>
      <c r="H20" s="80" t="s">
        <v>583</v>
      </c>
      <c r="I20" s="196">
        <v>1</v>
      </c>
      <c r="J20" s="190" t="s">
        <v>1021</v>
      </c>
      <c r="K20" s="196" t="s">
        <v>1472</v>
      </c>
      <c r="L20" s="189" t="s">
        <v>1182</v>
      </c>
      <c r="M20" s="194"/>
      <c r="N20" s="37"/>
      <c r="O20" s="32"/>
      <c r="P20" s="32"/>
      <c r="Q20" s="32"/>
      <c r="R20" s="32"/>
      <c r="S20" s="32"/>
      <c r="T20" s="32"/>
      <c r="U20" s="32"/>
      <c r="V20" s="32"/>
      <c r="W20" s="32"/>
      <c r="X20" s="32"/>
      <c r="Y20" s="32"/>
      <c r="Z20" s="32"/>
      <c r="AA20" s="32"/>
      <c r="AB20" s="32"/>
    </row>
    <row r="21" spans="2:28" ht="51" x14ac:dyDescent="0.2">
      <c r="B21" s="189"/>
      <c r="C21" s="190" t="s">
        <v>1211</v>
      </c>
      <c r="D21" s="189"/>
      <c r="E21" s="189"/>
      <c r="F21" s="189"/>
      <c r="G21" s="195">
        <v>296135</v>
      </c>
      <c r="H21" s="80" t="s">
        <v>1210</v>
      </c>
      <c r="I21" s="189"/>
      <c r="J21" s="190"/>
      <c r="K21" s="189"/>
      <c r="L21" s="189"/>
      <c r="M21" s="183">
        <f>+M22+M23</f>
        <v>2369000000</v>
      </c>
      <c r="N21" s="37"/>
      <c r="O21" s="32"/>
      <c r="P21" s="32"/>
      <c r="Q21" s="32"/>
      <c r="R21" s="32"/>
      <c r="S21" s="32"/>
      <c r="T21" s="32"/>
      <c r="U21" s="32"/>
      <c r="V21" s="32"/>
      <c r="W21" s="32"/>
      <c r="X21" s="32"/>
      <c r="Y21" s="32"/>
      <c r="Z21" s="32"/>
      <c r="AA21" s="32"/>
      <c r="AB21" s="32"/>
    </row>
    <row r="22" spans="2:28" x14ac:dyDescent="0.2">
      <c r="B22" s="189"/>
      <c r="C22" s="190"/>
      <c r="D22" s="189"/>
      <c r="E22" s="189"/>
      <c r="F22" s="189"/>
      <c r="G22" s="195"/>
      <c r="H22" s="80" t="s">
        <v>835</v>
      </c>
      <c r="I22" s="189"/>
      <c r="J22" s="190"/>
      <c r="K22" s="189"/>
      <c r="L22" s="189"/>
      <c r="M22" s="183">
        <v>919000000</v>
      </c>
      <c r="N22" s="37"/>
      <c r="O22" s="32"/>
      <c r="P22" s="32"/>
      <c r="Q22" s="32"/>
      <c r="R22" s="32"/>
      <c r="S22" s="32"/>
      <c r="T22" s="32"/>
      <c r="U22" s="32"/>
      <c r="V22" s="32"/>
      <c r="W22" s="32"/>
      <c r="X22" s="32"/>
      <c r="Y22" s="32"/>
      <c r="Z22" s="32"/>
      <c r="AA22" s="32"/>
      <c r="AB22" s="32"/>
    </row>
    <row r="23" spans="2:28" x14ac:dyDescent="0.2">
      <c r="B23" s="189"/>
      <c r="C23" s="190"/>
      <c r="D23" s="189"/>
      <c r="E23" s="189"/>
      <c r="F23" s="189"/>
      <c r="G23" s="195"/>
      <c r="H23" s="80" t="s">
        <v>931</v>
      </c>
      <c r="I23" s="189"/>
      <c r="J23" s="190"/>
      <c r="K23" s="189"/>
      <c r="L23" s="189"/>
      <c r="M23" s="183">
        <v>1450000000</v>
      </c>
      <c r="N23" s="37"/>
      <c r="O23" s="32"/>
      <c r="P23" s="32"/>
      <c r="Q23" s="32"/>
      <c r="R23" s="32"/>
      <c r="S23" s="32"/>
      <c r="T23" s="32"/>
      <c r="U23" s="32"/>
      <c r="V23" s="32"/>
      <c r="W23" s="32"/>
      <c r="X23" s="32"/>
      <c r="Y23" s="32"/>
      <c r="Z23" s="32"/>
      <c r="AA23" s="32"/>
      <c r="AB23" s="32"/>
    </row>
    <row r="24" spans="2:28" ht="38.25" x14ac:dyDescent="0.2">
      <c r="B24" s="189"/>
      <c r="C24" s="190" t="s">
        <v>128</v>
      </c>
      <c r="D24" s="189"/>
      <c r="E24" s="189"/>
      <c r="F24" s="189"/>
      <c r="G24" s="195">
        <v>296135</v>
      </c>
      <c r="H24" s="80" t="s">
        <v>1473</v>
      </c>
      <c r="I24" s="189"/>
      <c r="J24" s="190"/>
      <c r="K24" s="189"/>
      <c r="L24" s="189"/>
      <c r="M24" s="183">
        <f>+M25+M26</f>
        <v>2055000000</v>
      </c>
      <c r="N24" s="37"/>
      <c r="O24" s="32"/>
      <c r="P24" s="32"/>
      <c r="Q24" s="32"/>
      <c r="R24" s="32"/>
      <c r="S24" s="32"/>
      <c r="T24" s="32"/>
      <c r="U24" s="32"/>
      <c r="V24" s="32"/>
      <c r="W24" s="32"/>
      <c r="X24" s="32"/>
      <c r="Y24" s="32"/>
      <c r="Z24" s="32"/>
      <c r="AA24" s="32"/>
      <c r="AB24" s="32"/>
    </row>
    <row r="25" spans="2:28" x14ac:dyDescent="0.2">
      <c r="B25" s="189"/>
      <c r="C25" s="190"/>
      <c r="D25" s="189"/>
      <c r="E25" s="189"/>
      <c r="F25" s="189"/>
      <c r="G25" s="195"/>
      <c r="H25" s="80" t="s">
        <v>835</v>
      </c>
      <c r="I25" s="189"/>
      <c r="J25" s="190"/>
      <c r="K25" s="189"/>
      <c r="L25" s="189"/>
      <c r="M25" s="183">
        <f>960000000+45000000-200000000+100000000</f>
        <v>905000000</v>
      </c>
      <c r="N25" s="37"/>
      <c r="O25" s="32"/>
      <c r="P25" s="32"/>
      <c r="Q25" s="32"/>
      <c r="R25" s="32"/>
      <c r="S25" s="32"/>
      <c r="T25" s="32"/>
      <c r="U25" s="32"/>
      <c r="V25" s="32"/>
      <c r="W25" s="32"/>
      <c r="X25" s="32"/>
      <c r="Y25" s="32"/>
      <c r="Z25" s="32"/>
      <c r="AA25" s="32"/>
      <c r="AB25" s="32"/>
    </row>
    <row r="26" spans="2:28" x14ac:dyDescent="0.2">
      <c r="B26" s="189"/>
      <c r="C26" s="190"/>
      <c r="D26" s="189"/>
      <c r="E26" s="189"/>
      <c r="F26" s="189"/>
      <c r="G26" s="195"/>
      <c r="H26" s="80" t="s">
        <v>931</v>
      </c>
      <c r="I26" s="189"/>
      <c r="J26" s="190"/>
      <c r="K26" s="189"/>
      <c r="L26" s="189"/>
      <c r="M26" s="183">
        <f>300000000+600000000+250000000</f>
        <v>1150000000</v>
      </c>
      <c r="N26" s="37"/>
      <c r="O26" s="32"/>
      <c r="P26" s="32"/>
      <c r="Q26" s="32"/>
      <c r="R26" s="32"/>
      <c r="S26" s="32"/>
      <c r="T26" s="32"/>
      <c r="U26" s="32"/>
      <c r="V26" s="32"/>
      <c r="W26" s="32"/>
      <c r="X26" s="32"/>
      <c r="Y26" s="32"/>
      <c r="Z26" s="32"/>
      <c r="AA26" s="32"/>
      <c r="AB26" s="32"/>
    </row>
    <row r="27" spans="2:28" x14ac:dyDescent="0.2">
      <c r="B27" s="189"/>
      <c r="C27" s="190"/>
      <c r="D27" s="189"/>
      <c r="E27" s="189"/>
      <c r="F27" s="189"/>
      <c r="G27" s="195"/>
      <c r="H27" s="80"/>
      <c r="I27" s="189"/>
      <c r="J27" s="190"/>
      <c r="K27" s="189"/>
      <c r="L27" s="189"/>
      <c r="M27" s="183"/>
      <c r="N27" s="37"/>
      <c r="O27" s="32"/>
      <c r="P27" s="32"/>
      <c r="Q27" s="32"/>
      <c r="R27" s="32"/>
      <c r="S27" s="32"/>
      <c r="T27" s="32"/>
      <c r="U27" s="32"/>
      <c r="V27" s="32"/>
      <c r="W27" s="32"/>
      <c r="X27" s="32"/>
      <c r="Y27" s="32"/>
      <c r="Z27" s="32"/>
      <c r="AA27" s="32"/>
      <c r="AB27" s="32"/>
    </row>
    <row r="28" spans="2:28" x14ac:dyDescent="0.2">
      <c r="B28" s="189"/>
      <c r="C28" s="190"/>
      <c r="D28" s="189"/>
      <c r="E28" s="189"/>
      <c r="F28" s="189"/>
      <c r="G28" s="195"/>
      <c r="H28" s="80"/>
      <c r="I28" s="189"/>
      <c r="J28" s="190"/>
      <c r="K28" s="189"/>
      <c r="L28" s="189"/>
      <c r="M28" s="183"/>
      <c r="N28" s="37"/>
      <c r="O28" s="32"/>
      <c r="P28" s="32"/>
      <c r="Q28" s="32"/>
      <c r="R28" s="32"/>
      <c r="S28" s="32"/>
      <c r="T28" s="32"/>
      <c r="U28" s="32"/>
      <c r="V28" s="32"/>
      <c r="W28" s="32"/>
      <c r="X28" s="32"/>
      <c r="Y28" s="32"/>
      <c r="Z28" s="32"/>
      <c r="AA28" s="32"/>
      <c r="AB28" s="32"/>
    </row>
    <row r="29" spans="2:28" x14ac:dyDescent="0.2">
      <c r="B29" s="189" t="s">
        <v>497</v>
      </c>
      <c r="C29" s="190"/>
      <c r="D29" s="189"/>
      <c r="E29" s="189"/>
      <c r="F29" s="189"/>
      <c r="G29" s="195"/>
      <c r="H29" s="173" t="s">
        <v>673</v>
      </c>
      <c r="I29" s="189"/>
      <c r="J29" s="190"/>
      <c r="K29" s="189"/>
      <c r="L29" s="189"/>
      <c r="M29" s="91">
        <f>+M31</f>
        <v>2894160000</v>
      </c>
      <c r="N29" s="37"/>
      <c r="O29" s="32"/>
      <c r="P29" s="32"/>
      <c r="Q29" s="32"/>
      <c r="R29" s="32"/>
      <c r="S29" s="32"/>
      <c r="T29" s="32"/>
      <c r="U29" s="32"/>
      <c r="V29" s="32"/>
      <c r="W29" s="32"/>
      <c r="X29" s="32"/>
      <c r="Y29" s="32"/>
      <c r="Z29" s="32"/>
      <c r="AA29" s="32"/>
      <c r="AB29" s="32"/>
    </row>
    <row r="30" spans="2:28" ht="25.5" x14ac:dyDescent="0.2">
      <c r="B30" s="189"/>
      <c r="C30" s="190"/>
      <c r="D30" s="189"/>
      <c r="E30" s="196">
        <v>39</v>
      </c>
      <c r="F30" s="189" t="s">
        <v>268</v>
      </c>
      <c r="G30" s="195"/>
      <c r="H30" s="80" t="s">
        <v>414</v>
      </c>
      <c r="I30" s="196">
        <v>15</v>
      </c>
      <c r="J30" s="190" t="s">
        <v>440</v>
      </c>
      <c r="K30" s="196"/>
      <c r="L30" s="189" t="s">
        <v>114</v>
      </c>
      <c r="M30" s="194"/>
      <c r="N30" s="37"/>
      <c r="O30" s="32"/>
      <c r="P30" s="32"/>
      <c r="Q30" s="32"/>
      <c r="R30" s="32"/>
      <c r="S30" s="32"/>
      <c r="T30" s="32"/>
      <c r="U30" s="32"/>
      <c r="V30" s="32"/>
      <c r="W30" s="32"/>
      <c r="X30" s="32"/>
      <c r="Y30" s="32"/>
      <c r="Z30" s="32"/>
      <c r="AA30" s="32"/>
      <c r="AB30" s="32"/>
    </row>
    <row r="31" spans="2:28" x14ac:dyDescent="0.2">
      <c r="B31" s="189" t="s">
        <v>857</v>
      </c>
      <c r="C31" s="190"/>
      <c r="D31" s="189"/>
      <c r="E31" s="189"/>
      <c r="F31" s="189"/>
      <c r="G31" s="195"/>
      <c r="H31" s="173" t="s">
        <v>839</v>
      </c>
      <c r="I31" s="189"/>
      <c r="J31" s="190"/>
      <c r="K31" s="189"/>
      <c r="L31" s="189"/>
      <c r="M31" s="91">
        <f>+M34+M37</f>
        <v>2894160000</v>
      </c>
      <c r="N31" s="37"/>
      <c r="O31" s="32"/>
      <c r="P31" s="32"/>
      <c r="Q31" s="32"/>
      <c r="R31" s="32"/>
      <c r="S31" s="32"/>
      <c r="T31" s="32"/>
      <c r="U31" s="32"/>
      <c r="V31" s="32"/>
      <c r="W31" s="32"/>
      <c r="X31" s="32"/>
      <c r="Y31" s="32"/>
      <c r="Z31" s="32"/>
      <c r="AA31" s="32"/>
      <c r="AB31" s="32"/>
    </row>
    <row r="32" spans="2:28" ht="38.25" x14ac:dyDescent="0.2">
      <c r="B32" s="189"/>
      <c r="C32" s="190"/>
      <c r="D32" s="189" t="s">
        <v>756</v>
      </c>
      <c r="E32" s="196">
        <v>41</v>
      </c>
      <c r="F32" s="189" t="s">
        <v>1080</v>
      </c>
      <c r="G32" s="195"/>
      <c r="H32" s="80" t="s">
        <v>747</v>
      </c>
      <c r="I32" s="196">
        <v>64</v>
      </c>
      <c r="J32" s="190" t="s">
        <v>57</v>
      </c>
      <c r="K32" s="196">
        <v>8</v>
      </c>
      <c r="L32" s="189" t="s">
        <v>1181</v>
      </c>
      <c r="M32" s="91"/>
      <c r="N32" s="37"/>
      <c r="O32" s="32"/>
      <c r="P32" s="32"/>
      <c r="Q32" s="32"/>
      <c r="R32" s="32"/>
      <c r="S32" s="32"/>
      <c r="T32" s="32"/>
      <c r="U32" s="32"/>
      <c r="V32" s="32"/>
      <c r="W32" s="32"/>
      <c r="X32" s="32"/>
      <c r="Y32" s="32"/>
      <c r="Z32" s="32"/>
      <c r="AA32" s="32"/>
      <c r="AB32" s="32"/>
    </row>
    <row r="33" spans="2:28" ht="38.25" x14ac:dyDescent="0.2">
      <c r="B33" s="189"/>
      <c r="C33" s="190"/>
      <c r="D33" s="189" t="s">
        <v>756</v>
      </c>
      <c r="E33" s="196">
        <v>42</v>
      </c>
      <c r="F33" s="189" t="s">
        <v>1080</v>
      </c>
      <c r="G33" s="195"/>
      <c r="H33" s="80" t="s">
        <v>593</v>
      </c>
      <c r="I33" s="196">
        <v>116</v>
      </c>
      <c r="J33" s="190" t="s">
        <v>945</v>
      </c>
      <c r="K33" s="196">
        <v>58</v>
      </c>
      <c r="L33" s="189" t="s">
        <v>1212</v>
      </c>
      <c r="M33" s="194"/>
      <c r="N33" s="37"/>
      <c r="O33" s="32"/>
      <c r="P33" s="32"/>
      <c r="Q33" s="32"/>
      <c r="R33" s="32"/>
      <c r="S33" s="32"/>
      <c r="T33" s="32"/>
      <c r="U33" s="32"/>
      <c r="V33" s="32"/>
      <c r="W33" s="32"/>
      <c r="X33" s="32"/>
      <c r="Y33" s="32"/>
      <c r="Z33" s="32"/>
      <c r="AA33" s="32"/>
      <c r="AB33" s="32"/>
    </row>
    <row r="34" spans="2:28" ht="51" x14ac:dyDescent="0.2">
      <c r="B34" s="189"/>
      <c r="C34" s="190" t="s">
        <v>1214</v>
      </c>
      <c r="D34" s="189"/>
      <c r="E34" s="189"/>
      <c r="F34" s="189"/>
      <c r="G34" s="195">
        <v>296136</v>
      </c>
      <c r="H34" s="80" t="s">
        <v>1213</v>
      </c>
      <c r="I34" s="189"/>
      <c r="J34" s="190"/>
      <c r="K34" s="189"/>
      <c r="L34" s="189"/>
      <c r="M34" s="183">
        <f>+M35+M36</f>
        <v>2372900000</v>
      </c>
      <c r="N34" s="37"/>
      <c r="O34" s="32"/>
      <c r="P34" s="32"/>
      <c r="Q34" s="32"/>
      <c r="R34" s="32"/>
      <c r="S34" s="32"/>
      <c r="T34" s="32"/>
      <c r="U34" s="32"/>
      <c r="V34" s="32"/>
      <c r="W34" s="32"/>
      <c r="X34" s="32"/>
      <c r="Y34" s="32"/>
      <c r="Z34" s="32"/>
      <c r="AA34" s="32"/>
      <c r="AB34" s="32"/>
    </row>
    <row r="35" spans="2:28" x14ac:dyDescent="0.2">
      <c r="B35" s="189"/>
      <c r="C35" s="190"/>
      <c r="D35" s="189"/>
      <c r="E35" s="189"/>
      <c r="F35" s="189"/>
      <c r="G35" s="195"/>
      <c r="H35" s="80" t="s">
        <v>835</v>
      </c>
      <c r="I35" s="189"/>
      <c r="J35" s="190"/>
      <c r="K35" s="189"/>
      <c r="L35" s="189"/>
      <c r="M35" s="183">
        <v>738250000</v>
      </c>
      <c r="N35" s="37"/>
      <c r="O35" s="32"/>
      <c r="P35" s="32"/>
      <c r="Q35" s="32"/>
      <c r="R35" s="32"/>
      <c r="S35" s="32"/>
      <c r="T35" s="32"/>
      <c r="U35" s="32"/>
      <c r="V35" s="32"/>
      <c r="W35" s="32"/>
      <c r="X35" s="32"/>
      <c r="Y35" s="32"/>
      <c r="Z35" s="32"/>
      <c r="AA35" s="32"/>
      <c r="AB35" s="32"/>
    </row>
    <row r="36" spans="2:28" x14ac:dyDescent="0.2">
      <c r="B36" s="189"/>
      <c r="C36" s="190"/>
      <c r="D36" s="189"/>
      <c r="E36" s="189"/>
      <c r="F36" s="189"/>
      <c r="G36" s="195"/>
      <c r="H36" s="80" t="s">
        <v>931</v>
      </c>
      <c r="I36" s="189"/>
      <c r="J36" s="190"/>
      <c r="K36" s="189"/>
      <c r="L36" s="189"/>
      <c r="M36" s="183">
        <v>1634650000</v>
      </c>
      <c r="N36" s="37"/>
      <c r="O36" s="32"/>
      <c r="P36" s="32"/>
      <c r="Q36" s="32"/>
      <c r="R36" s="32"/>
      <c r="S36" s="32"/>
      <c r="T36" s="32"/>
      <c r="U36" s="32"/>
      <c r="V36" s="32"/>
      <c r="W36" s="32"/>
      <c r="X36" s="32"/>
      <c r="Y36" s="32"/>
      <c r="Z36" s="32"/>
      <c r="AA36" s="32"/>
      <c r="AB36" s="32"/>
    </row>
    <row r="37" spans="2:28" ht="38.25" x14ac:dyDescent="0.2">
      <c r="B37" s="189"/>
      <c r="C37" s="190" t="s">
        <v>862</v>
      </c>
      <c r="D37" s="189"/>
      <c r="E37" s="189"/>
      <c r="F37" s="189"/>
      <c r="G37" s="195">
        <v>296136</v>
      </c>
      <c r="H37" s="80" t="s">
        <v>1474</v>
      </c>
      <c r="I37" s="189"/>
      <c r="J37" s="190"/>
      <c r="K37" s="189"/>
      <c r="L37" s="189"/>
      <c r="M37" s="183">
        <f>+M38+M39</f>
        <v>521260000</v>
      </c>
      <c r="N37" s="37"/>
      <c r="O37" s="32"/>
      <c r="P37" s="32"/>
      <c r="Q37" s="32"/>
      <c r="R37" s="32"/>
      <c r="S37" s="32"/>
      <c r="T37" s="32"/>
      <c r="U37" s="32"/>
      <c r="V37" s="32"/>
      <c r="W37" s="32"/>
      <c r="X37" s="32"/>
      <c r="Y37" s="32"/>
      <c r="Z37" s="32"/>
      <c r="AA37" s="32"/>
      <c r="AB37" s="32"/>
    </row>
    <row r="38" spans="2:28" x14ac:dyDescent="0.2">
      <c r="B38" s="189"/>
      <c r="C38" s="190"/>
      <c r="D38" s="189"/>
      <c r="E38" s="189"/>
      <c r="F38" s="189"/>
      <c r="G38" s="195"/>
      <c r="H38" s="80" t="s">
        <v>835</v>
      </c>
      <c r="I38" s="189"/>
      <c r="J38" s="190"/>
      <c r="K38" s="189"/>
      <c r="L38" s="189"/>
      <c r="M38" s="183">
        <f>220275000+10475000-100000000</f>
        <v>130750000</v>
      </c>
      <c r="N38" s="37"/>
      <c r="O38" s="32"/>
      <c r="P38" s="32"/>
      <c r="Q38" s="32"/>
      <c r="R38" s="32"/>
      <c r="S38" s="32"/>
      <c r="T38" s="32"/>
      <c r="U38" s="32"/>
      <c r="V38" s="32"/>
      <c r="W38" s="32"/>
      <c r="X38" s="32"/>
      <c r="Y38" s="32"/>
      <c r="Z38" s="32"/>
      <c r="AA38" s="32"/>
      <c r="AB38" s="32"/>
    </row>
    <row r="39" spans="2:28" x14ac:dyDescent="0.2">
      <c r="B39" s="189"/>
      <c r="C39" s="190"/>
      <c r="D39" s="189"/>
      <c r="E39" s="189"/>
      <c r="F39" s="189"/>
      <c r="G39" s="195"/>
      <c r="H39" s="80" t="s">
        <v>931</v>
      </c>
      <c r="I39" s="189"/>
      <c r="J39" s="190"/>
      <c r="K39" s="189"/>
      <c r="L39" s="189"/>
      <c r="M39" s="183">
        <f>140510000+100000000+100000000+50000000</f>
        <v>390510000</v>
      </c>
      <c r="N39" s="37"/>
      <c r="O39" s="32"/>
      <c r="P39" s="32"/>
      <c r="Q39" s="32"/>
      <c r="R39" s="32"/>
      <c r="S39" s="32"/>
      <c r="T39" s="32"/>
      <c r="U39" s="32"/>
      <c r="V39" s="32"/>
      <c r="W39" s="32"/>
      <c r="X39" s="32"/>
      <c r="Y39" s="32"/>
      <c r="Z39" s="32"/>
      <c r="AA39" s="32"/>
      <c r="AB39" s="32"/>
    </row>
    <row r="40" spans="2:28" x14ac:dyDescent="0.2">
      <c r="B40" s="189"/>
      <c r="C40" s="190"/>
      <c r="D40" s="189"/>
      <c r="E40" s="189"/>
      <c r="F40" s="189"/>
      <c r="G40" s="195"/>
      <c r="H40" s="80"/>
      <c r="I40" s="189"/>
      <c r="J40" s="190"/>
      <c r="K40" s="189"/>
      <c r="L40" s="189"/>
      <c r="M40" s="183"/>
      <c r="N40" s="37"/>
      <c r="O40" s="32"/>
      <c r="P40" s="32"/>
      <c r="Q40" s="32"/>
      <c r="R40" s="32"/>
      <c r="S40" s="32"/>
      <c r="T40" s="32"/>
      <c r="U40" s="32"/>
      <c r="V40" s="32"/>
      <c r="W40" s="32"/>
      <c r="X40" s="32"/>
      <c r="Y40" s="32"/>
      <c r="Z40" s="32"/>
      <c r="AA40" s="32"/>
      <c r="AB40" s="32"/>
    </row>
    <row r="41" spans="2:28" x14ac:dyDescent="0.2">
      <c r="B41" s="189" t="s">
        <v>955</v>
      </c>
      <c r="C41" s="190"/>
      <c r="D41" s="189"/>
      <c r="E41" s="189"/>
      <c r="F41" s="189"/>
      <c r="G41" s="195"/>
      <c r="H41" s="173" t="s">
        <v>405</v>
      </c>
      <c r="I41" s="189"/>
      <c r="J41" s="190"/>
      <c r="K41" s="189"/>
      <c r="L41" s="189"/>
      <c r="M41" s="91">
        <f>+M43</f>
        <v>1716100000</v>
      </c>
      <c r="N41" s="37"/>
      <c r="O41" s="32"/>
      <c r="P41" s="32"/>
      <c r="Q41" s="32"/>
      <c r="R41" s="32"/>
      <c r="S41" s="32"/>
      <c r="T41" s="32"/>
      <c r="U41" s="32"/>
      <c r="V41" s="32"/>
      <c r="W41" s="32"/>
      <c r="X41" s="32"/>
      <c r="Y41" s="32"/>
      <c r="Z41" s="32"/>
      <c r="AA41" s="32"/>
      <c r="AB41" s="32"/>
    </row>
    <row r="42" spans="2:28" ht="25.5" x14ac:dyDescent="0.2">
      <c r="B42" s="189"/>
      <c r="C42" s="190"/>
      <c r="D42" s="189"/>
      <c r="E42" s="196">
        <v>74</v>
      </c>
      <c r="F42" s="189" t="s">
        <v>268</v>
      </c>
      <c r="G42" s="195"/>
      <c r="H42" s="80" t="s">
        <v>828</v>
      </c>
      <c r="I42" s="196">
        <v>60</v>
      </c>
      <c r="J42" s="190" t="s">
        <v>440</v>
      </c>
      <c r="K42" s="196"/>
      <c r="L42" s="189" t="s">
        <v>1176</v>
      </c>
      <c r="M42" s="194"/>
      <c r="N42" s="37"/>
      <c r="O42" s="32"/>
      <c r="P42" s="32"/>
      <c r="Q42" s="32"/>
      <c r="R42" s="32"/>
      <c r="S42" s="32"/>
      <c r="T42" s="32"/>
      <c r="U42" s="32"/>
      <c r="V42" s="32"/>
      <c r="W42" s="32"/>
      <c r="X42" s="32"/>
      <c r="Y42" s="32"/>
      <c r="Z42" s="32"/>
      <c r="AA42" s="32"/>
      <c r="AB42" s="32"/>
    </row>
    <row r="43" spans="2:28" x14ac:dyDescent="0.2">
      <c r="B43" s="189" t="s">
        <v>857</v>
      </c>
      <c r="C43" s="190"/>
      <c r="D43" s="189"/>
      <c r="E43" s="189"/>
      <c r="F43" s="189"/>
      <c r="G43" s="195"/>
      <c r="H43" s="173" t="s">
        <v>839</v>
      </c>
      <c r="I43" s="189"/>
      <c r="J43" s="190"/>
      <c r="K43" s="189"/>
      <c r="L43" s="189"/>
      <c r="M43" s="91">
        <f>+M46+M49</f>
        <v>1716100000</v>
      </c>
      <c r="N43" s="37"/>
      <c r="O43" s="32"/>
      <c r="P43" s="32"/>
      <c r="Q43" s="32"/>
      <c r="R43" s="32"/>
      <c r="S43" s="32"/>
      <c r="T43" s="32"/>
      <c r="U43" s="32"/>
      <c r="V43" s="32"/>
      <c r="W43" s="32"/>
      <c r="X43" s="32"/>
      <c r="Y43" s="32"/>
      <c r="Z43" s="32"/>
      <c r="AA43" s="32"/>
      <c r="AB43" s="32"/>
    </row>
    <row r="44" spans="2:28" ht="38.25" x14ac:dyDescent="0.2">
      <c r="B44" s="189"/>
      <c r="C44" s="190"/>
      <c r="D44" s="189" t="s">
        <v>756</v>
      </c>
      <c r="E44" s="196">
        <v>80</v>
      </c>
      <c r="F44" s="189" t="s">
        <v>1080</v>
      </c>
      <c r="G44" s="195"/>
      <c r="H44" s="80" t="s">
        <v>479</v>
      </c>
      <c r="I44" s="196">
        <v>64</v>
      </c>
      <c r="J44" s="190" t="s">
        <v>767</v>
      </c>
      <c r="K44" s="196" t="s">
        <v>1475</v>
      </c>
      <c r="L44" s="189" t="s">
        <v>1181</v>
      </c>
      <c r="M44" s="91"/>
      <c r="N44" s="37"/>
      <c r="O44" s="32"/>
      <c r="P44" s="32"/>
      <c r="Q44" s="32"/>
      <c r="R44" s="32"/>
      <c r="S44" s="32"/>
      <c r="T44" s="32"/>
      <c r="U44" s="32"/>
      <c r="V44" s="32"/>
      <c r="W44" s="32"/>
      <c r="X44" s="32"/>
      <c r="Y44" s="32"/>
      <c r="Z44" s="32"/>
      <c r="AA44" s="32"/>
      <c r="AB44" s="32"/>
    </row>
    <row r="45" spans="2:28" ht="38.25" x14ac:dyDescent="0.2">
      <c r="B45" s="189"/>
      <c r="C45" s="190"/>
      <c r="D45" s="189" t="s">
        <v>756</v>
      </c>
      <c r="E45" s="189" t="s">
        <v>1476</v>
      </c>
      <c r="F45" s="189" t="s">
        <v>1080</v>
      </c>
      <c r="G45" s="195"/>
      <c r="H45" s="177" t="s">
        <v>1477</v>
      </c>
      <c r="I45" s="189" t="s">
        <v>1478</v>
      </c>
      <c r="J45" s="190" t="s">
        <v>945</v>
      </c>
      <c r="K45" s="189" t="s">
        <v>1479</v>
      </c>
      <c r="L45" s="189" t="s">
        <v>1137</v>
      </c>
      <c r="M45" s="91"/>
      <c r="N45" s="37"/>
      <c r="O45" s="32"/>
      <c r="P45" s="32"/>
      <c r="Q45" s="32"/>
      <c r="R45" s="32"/>
      <c r="S45" s="32"/>
      <c r="T45" s="32"/>
      <c r="U45" s="32"/>
      <c r="V45" s="32"/>
      <c r="W45" s="32"/>
      <c r="X45" s="32"/>
      <c r="Y45" s="32"/>
      <c r="Z45" s="32"/>
      <c r="AA45" s="32"/>
      <c r="AB45" s="32"/>
    </row>
    <row r="46" spans="2:28" ht="51" x14ac:dyDescent="0.2">
      <c r="B46" s="189"/>
      <c r="C46" s="190" t="s">
        <v>1159</v>
      </c>
      <c r="D46" s="189"/>
      <c r="E46" s="189"/>
      <c r="F46" s="189"/>
      <c r="G46" s="195">
        <v>296137</v>
      </c>
      <c r="H46" s="80" t="s">
        <v>1215</v>
      </c>
      <c r="I46" s="189"/>
      <c r="J46" s="190"/>
      <c r="K46" s="189"/>
      <c r="L46" s="189"/>
      <c r="M46" s="183">
        <f>+M47+M48</f>
        <v>998220000</v>
      </c>
      <c r="N46" s="37"/>
      <c r="O46" s="32"/>
      <c r="P46" s="32"/>
      <c r="Q46" s="32"/>
      <c r="R46" s="32"/>
      <c r="S46" s="32"/>
      <c r="T46" s="32"/>
      <c r="U46" s="32"/>
      <c r="V46" s="32"/>
      <c r="W46" s="32"/>
      <c r="X46" s="32"/>
      <c r="Y46" s="32"/>
      <c r="Z46" s="32"/>
      <c r="AA46" s="32"/>
      <c r="AB46" s="32"/>
    </row>
    <row r="47" spans="2:28" x14ac:dyDescent="0.2">
      <c r="B47" s="189"/>
      <c r="C47" s="190"/>
      <c r="D47" s="189"/>
      <c r="E47" s="189"/>
      <c r="F47" s="189"/>
      <c r="G47" s="195"/>
      <c r="H47" s="80" t="s">
        <v>835</v>
      </c>
      <c r="I47" s="189"/>
      <c r="J47" s="190"/>
      <c r="K47" s="189"/>
      <c r="L47" s="189"/>
      <c r="M47" s="183">
        <v>774120000</v>
      </c>
      <c r="N47" s="37"/>
      <c r="O47" s="32"/>
      <c r="P47" s="32"/>
      <c r="Q47" s="32"/>
      <c r="R47" s="32"/>
      <c r="S47" s="32"/>
      <c r="T47" s="32"/>
      <c r="U47" s="32"/>
      <c r="V47" s="32"/>
      <c r="W47" s="32"/>
      <c r="X47" s="32"/>
      <c r="Y47" s="32"/>
      <c r="Z47" s="32"/>
      <c r="AA47" s="32"/>
      <c r="AB47" s="32"/>
    </row>
    <row r="48" spans="2:28" x14ac:dyDescent="0.2">
      <c r="B48" s="189"/>
      <c r="C48" s="190"/>
      <c r="D48" s="189"/>
      <c r="E48" s="189"/>
      <c r="F48" s="189"/>
      <c r="G48" s="195"/>
      <c r="H48" s="80" t="s">
        <v>931</v>
      </c>
      <c r="I48" s="189"/>
      <c r="J48" s="190"/>
      <c r="K48" s="189"/>
      <c r="L48" s="189"/>
      <c r="M48" s="183">
        <v>224100000</v>
      </c>
      <c r="N48" s="37"/>
      <c r="O48" s="32"/>
      <c r="P48" s="32"/>
      <c r="Q48" s="32"/>
      <c r="R48" s="32"/>
      <c r="S48" s="32"/>
      <c r="T48" s="32"/>
      <c r="U48" s="32"/>
      <c r="V48" s="32"/>
      <c r="W48" s="32"/>
      <c r="X48" s="32"/>
      <c r="Y48" s="32"/>
      <c r="Z48" s="32"/>
      <c r="AA48" s="32"/>
      <c r="AB48" s="32"/>
    </row>
    <row r="49" spans="2:28" ht="38.25" x14ac:dyDescent="0.2">
      <c r="B49" s="189"/>
      <c r="C49" s="190" t="s">
        <v>10</v>
      </c>
      <c r="D49" s="189"/>
      <c r="E49" s="189"/>
      <c r="F49" s="189"/>
      <c r="G49" s="195">
        <v>296137</v>
      </c>
      <c r="H49" s="80" t="s">
        <v>1480</v>
      </c>
      <c r="I49" s="189"/>
      <c r="J49" s="190"/>
      <c r="K49" s="189"/>
      <c r="L49" s="189"/>
      <c r="M49" s="183">
        <f>+M50+M51</f>
        <v>717880000</v>
      </c>
      <c r="N49" s="37"/>
      <c r="O49" s="32"/>
      <c r="P49" s="32"/>
      <c r="Q49" s="32"/>
      <c r="R49" s="32"/>
      <c r="S49" s="32"/>
      <c r="T49" s="32"/>
      <c r="U49" s="32"/>
      <c r="V49" s="32"/>
      <c r="W49" s="32"/>
      <c r="X49" s="32"/>
      <c r="Y49" s="32"/>
      <c r="Z49" s="32"/>
      <c r="AA49" s="32"/>
      <c r="AB49" s="32"/>
    </row>
    <row r="50" spans="2:28" x14ac:dyDescent="0.2">
      <c r="B50" s="189"/>
      <c r="C50" s="190"/>
      <c r="D50" s="189"/>
      <c r="E50" s="189"/>
      <c r="F50" s="189"/>
      <c r="G50" s="195"/>
      <c r="H50" s="80" t="s">
        <v>835</v>
      </c>
      <c r="I50" s="189"/>
      <c r="J50" s="190"/>
      <c r="K50" s="189"/>
      <c r="L50" s="189"/>
      <c r="M50" s="183">
        <f>111524000+50000000+656356000-300000000+100000000</f>
        <v>617880000</v>
      </c>
      <c r="N50" s="37"/>
      <c r="O50" s="32"/>
      <c r="P50" s="32"/>
      <c r="Q50" s="32"/>
      <c r="R50" s="32"/>
      <c r="S50" s="32"/>
      <c r="T50" s="32"/>
      <c r="U50" s="32"/>
      <c r="V50" s="32"/>
      <c r="W50" s="32"/>
      <c r="X50" s="32"/>
      <c r="Y50" s="32"/>
      <c r="Z50" s="32"/>
      <c r="AA50" s="32"/>
      <c r="AB50" s="32"/>
    </row>
    <row r="51" spans="2:28" x14ac:dyDescent="0.2">
      <c r="B51" s="189"/>
      <c r="C51" s="190"/>
      <c r="D51" s="189"/>
      <c r="E51" s="189"/>
      <c r="F51" s="189"/>
      <c r="G51" s="195"/>
      <c r="H51" s="80" t="s">
        <v>931</v>
      </c>
      <c r="I51" s="189"/>
      <c r="J51" s="190"/>
      <c r="K51" s="189"/>
      <c r="L51" s="189"/>
      <c r="M51" s="183">
        <v>100000000</v>
      </c>
      <c r="N51" s="37"/>
      <c r="O51" s="32"/>
      <c r="P51" s="32"/>
      <c r="Q51" s="32"/>
      <c r="R51" s="32"/>
      <c r="S51" s="32"/>
      <c r="T51" s="32"/>
      <c r="U51" s="32"/>
      <c r="V51" s="32"/>
      <c r="W51" s="32"/>
      <c r="X51" s="32"/>
      <c r="Y51" s="32"/>
      <c r="Z51" s="32"/>
      <c r="AA51" s="32"/>
      <c r="AB51" s="32"/>
    </row>
    <row r="52" spans="2:28" x14ac:dyDescent="0.2">
      <c r="B52" s="189"/>
      <c r="C52" s="190"/>
      <c r="D52" s="189"/>
      <c r="E52" s="189"/>
      <c r="F52" s="189"/>
      <c r="G52" s="195"/>
      <c r="H52" s="80"/>
      <c r="I52" s="189"/>
      <c r="J52" s="190"/>
      <c r="K52" s="189"/>
      <c r="L52" s="189"/>
      <c r="M52" s="183"/>
      <c r="N52" s="37"/>
      <c r="O52" s="32"/>
      <c r="P52" s="32"/>
      <c r="Q52" s="32"/>
      <c r="R52" s="32"/>
      <c r="S52" s="32"/>
      <c r="T52" s="32"/>
      <c r="U52" s="32"/>
      <c r="V52" s="32"/>
      <c r="W52" s="32"/>
      <c r="X52" s="32"/>
      <c r="Y52" s="32"/>
      <c r="Z52" s="32"/>
      <c r="AA52" s="32"/>
      <c r="AB52" s="32"/>
    </row>
    <row r="53" spans="2:28" x14ac:dyDescent="0.2">
      <c r="B53" s="189" t="s">
        <v>285</v>
      </c>
      <c r="C53" s="190"/>
      <c r="D53" s="189"/>
      <c r="E53" s="189"/>
      <c r="F53" s="189"/>
      <c r="G53" s="195"/>
      <c r="H53" s="173" t="s">
        <v>548</v>
      </c>
      <c r="I53" s="189"/>
      <c r="J53" s="190"/>
      <c r="K53" s="189"/>
      <c r="L53" s="189"/>
      <c r="M53" s="91">
        <f>+M56+M64</f>
        <v>999969550</v>
      </c>
      <c r="N53" s="37"/>
      <c r="O53" s="32"/>
      <c r="P53" s="32"/>
      <c r="Q53" s="32"/>
      <c r="R53" s="32"/>
      <c r="S53" s="32"/>
      <c r="T53" s="32"/>
      <c r="U53" s="32"/>
      <c r="V53" s="32"/>
      <c r="W53" s="32"/>
      <c r="X53" s="32"/>
      <c r="Y53" s="32"/>
      <c r="Z53" s="32"/>
      <c r="AA53" s="32"/>
      <c r="AB53" s="32"/>
    </row>
    <row r="54" spans="2:28" ht="25.5" x14ac:dyDescent="0.2">
      <c r="B54" s="189"/>
      <c r="C54" s="190"/>
      <c r="D54" s="189"/>
      <c r="E54" s="196">
        <v>74</v>
      </c>
      <c r="F54" s="189" t="s">
        <v>268</v>
      </c>
      <c r="G54" s="195"/>
      <c r="H54" s="80" t="s">
        <v>828</v>
      </c>
      <c r="I54" s="196">
        <v>60</v>
      </c>
      <c r="J54" s="190" t="s">
        <v>440</v>
      </c>
      <c r="K54" s="196"/>
      <c r="L54" s="189"/>
      <c r="M54" s="194"/>
      <c r="N54" s="37"/>
      <c r="O54" s="32"/>
      <c r="P54" s="32"/>
      <c r="Q54" s="32"/>
      <c r="R54" s="32"/>
      <c r="S54" s="32"/>
      <c r="T54" s="32"/>
      <c r="U54" s="32"/>
      <c r="V54" s="32"/>
      <c r="W54" s="32"/>
      <c r="X54" s="32"/>
      <c r="Y54" s="32"/>
      <c r="Z54" s="32"/>
      <c r="AA54" s="32"/>
      <c r="AB54" s="32"/>
    </row>
    <row r="55" spans="2:28" ht="38.25" x14ac:dyDescent="0.2">
      <c r="B55" s="189"/>
      <c r="C55" s="190"/>
      <c r="D55" s="189"/>
      <c r="E55" s="196">
        <v>118</v>
      </c>
      <c r="F55" s="189" t="s">
        <v>268</v>
      </c>
      <c r="G55" s="195"/>
      <c r="H55" s="80" t="s">
        <v>1216</v>
      </c>
      <c r="I55" s="196">
        <v>60</v>
      </c>
      <c r="J55" s="190" t="s">
        <v>440</v>
      </c>
      <c r="K55" s="196"/>
      <c r="L55" s="189" t="s">
        <v>114</v>
      </c>
      <c r="M55" s="194"/>
      <c r="N55" s="37"/>
      <c r="O55" s="32"/>
      <c r="P55" s="32"/>
      <c r="Q55" s="32"/>
      <c r="R55" s="32"/>
      <c r="S55" s="32"/>
      <c r="T55" s="32"/>
      <c r="U55" s="32"/>
      <c r="V55" s="32"/>
      <c r="W55" s="32"/>
      <c r="X55" s="32"/>
      <c r="Y55" s="32"/>
      <c r="Z55" s="32"/>
      <c r="AA55" s="32"/>
      <c r="AB55" s="32"/>
    </row>
    <row r="56" spans="2:28" x14ac:dyDescent="0.2">
      <c r="B56" s="189" t="s">
        <v>857</v>
      </c>
      <c r="C56" s="190"/>
      <c r="D56" s="189"/>
      <c r="E56" s="189"/>
      <c r="F56" s="189"/>
      <c r="G56" s="195"/>
      <c r="H56" s="173" t="s">
        <v>839</v>
      </c>
      <c r="I56" s="189"/>
      <c r="J56" s="190"/>
      <c r="K56" s="189"/>
      <c r="L56" s="189"/>
      <c r="M56" s="91">
        <f>+M58+M60</f>
        <v>649969550</v>
      </c>
      <c r="N56" s="37"/>
      <c r="O56" s="32"/>
      <c r="P56" s="32"/>
      <c r="Q56" s="32"/>
      <c r="R56" s="32"/>
      <c r="S56" s="32"/>
      <c r="T56" s="32"/>
      <c r="U56" s="32"/>
      <c r="V56" s="32"/>
      <c r="W56" s="32"/>
      <c r="X56" s="32"/>
      <c r="Y56" s="32"/>
      <c r="Z56" s="32"/>
      <c r="AA56" s="32"/>
      <c r="AB56" s="32"/>
    </row>
    <row r="57" spans="2:28" ht="38.25" x14ac:dyDescent="0.2">
      <c r="B57" s="189"/>
      <c r="C57" s="190"/>
      <c r="D57" s="189" t="s">
        <v>756</v>
      </c>
      <c r="E57" s="196">
        <v>120</v>
      </c>
      <c r="F57" s="189" t="s">
        <v>1080</v>
      </c>
      <c r="G57" s="195"/>
      <c r="H57" s="80" t="s">
        <v>932</v>
      </c>
      <c r="I57" s="196">
        <v>100</v>
      </c>
      <c r="J57" s="190" t="s">
        <v>767</v>
      </c>
      <c r="K57" s="196">
        <v>30</v>
      </c>
      <c r="L57" s="189" t="s">
        <v>1217</v>
      </c>
      <c r="M57" s="194"/>
      <c r="N57" s="37"/>
      <c r="O57" s="32"/>
      <c r="P57" s="32"/>
      <c r="Q57" s="32"/>
      <c r="R57" s="32"/>
      <c r="S57" s="32"/>
      <c r="T57" s="32"/>
      <c r="U57" s="32"/>
      <c r="V57" s="32"/>
      <c r="W57" s="32"/>
      <c r="X57" s="32"/>
      <c r="Y57" s="32"/>
      <c r="Z57" s="32"/>
      <c r="AA57" s="32"/>
      <c r="AB57" s="32"/>
    </row>
    <row r="58" spans="2:28" ht="51" x14ac:dyDescent="0.2">
      <c r="B58" s="189"/>
      <c r="C58" s="190" t="s">
        <v>1218</v>
      </c>
      <c r="D58" s="189"/>
      <c r="E58" s="189"/>
      <c r="F58" s="189"/>
      <c r="G58" s="195">
        <v>296137</v>
      </c>
      <c r="H58" s="80" t="s">
        <v>1215</v>
      </c>
      <c r="I58" s="189"/>
      <c r="J58" s="190"/>
      <c r="K58" s="189"/>
      <c r="L58" s="189"/>
      <c r="M58" s="183">
        <f>+M59</f>
        <v>508445550</v>
      </c>
      <c r="N58" s="37"/>
      <c r="O58" s="32"/>
      <c r="P58" s="32"/>
      <c r="Q58" s="32"/>
      <c r="R58" s="32"/>
      <c r="S58" s="32"/>
      <c r="T58" s="32"/>
      <c r="U58" s="32"/>
      <c r="V58" s="32"/>
      <c r="W58" s="32"/>
      <c r="X58" s="32"/>
      <c r="Y58" s="32"/>
      <c r="Z58" s="32"/>
      <c r="AA58" s="32"/>
      <c r="AB58" s="32"/>
    </row>
    <row r="59" spans="2:28" x14ac:dyDescent="0.2">
      <c r="B59" s="189"/>
      <c r="C59" s="190"/>
      <c r="D59" s="189"/>
      <c r="E59" s="189"/>
      <c r="F59" s="189"/>
      <c r="G59" s="195"/>
      <c r="H59" s="80" t="s">
        <v>931</v>
      </c>
      <c r="I59" s="189"/>
      <c r="J59" s="190"/>
      <c r="K59" s="189"/>
      <c r="L59" s="189"/>
      <c r="M59" s="183">
        <v>508445550</v>
      </c>
      <c r="N59" s="37"/>
      <c r="O59" s="32"/>
      <c r="P59" s="32"/>
      <c r="Q59" s="32"/>
      <c r="R59" s="32"/>
      <c r="S59" s="32"/>
      <c r="T59" s="32"/>
      <c r="U59" s="32"/>
      <c r="V59" s="32"/>
      <c r="W59" s="32"/>
      <c r="X59" s="32"/>
      <c r="Y59" s="32"/>
      <c r="Z59" s="32"/>
      <c r="AA59" s="32"/>
      <c r="AB59" s="32"/>
    </row>
    <row r="60" spans="2:28" ht="38.25" x14ac:dyDescent="0.2">
      <c r="B60" s="189"/>
      <c r="C60" s="190" t="s">
        <v>10</v>
      </c>
      <c r="D60" s="189"/>
      <c r="E60" s="189"/>
      <c r="F60" s="189"/>
      <c r="G60" s="195">
        <v>296137</v>
      </c>
      <c r="H60" s="80" t="s">
        <v>1480</v>
      </c>
      <c r="I60" s="189"/>
      <c r="J60" s="190"/>
      <c r="K60" s="189"/>
      <c r="L60" s="189"/>
      <c r="M60" s="183">
        <f>+M61+M62</f>
        <v>141524000</v>
      </c>
      <c r="N60" s="37"/>
      <c r="O60" s="32"/>
      <c r="P60" s="32"/>
      <c r="Q60" s="32"/>
      <c r="R60" s="32"/>
      <c r="S60" s="32"/>
      <c r="T60" s="32"/>
      <c r="U60" s="32"/>
      <c r="V60" s="32"/>
      <c r="W60" s="32"/>
      <c r="X60" s="32"/>
      <c r="Y60" s="32"/>
      <c r="Z60" s="32"/>
      <c r="AA60" s="32"/>
      <c r="AB60" s="32"/>
    </row>
    <row r="61" spans="2:28" x14ac:dyDescent="0.2">
      <c r="B61" s="189"/>
      <c r="C61" s="190"/>
      <c r="D61" s="189"/>
      <c r="E61" s="189"/>
      <c r="F61" s="189"/>
      <c r="G61" s="195"/>
      <c r="H61" s="80" t="s">
        <v>931</v>
      </c>
      <c r="I61" s="189"/>
      <c r="J61" s="190"/>
      <c r="K61" s="189"/>
      <c r="L61" s="189"/>
      <c r="M61" s="183">
        <f>50000000+30000000</f>
        <v>80000000</v>
      </c>
      <c r="N61" s="37"/>
      <c r="O61" s="32"/>
      <c r="P61" s="32"/>
      <c r="Q61" s="32"/>
      <c r="R61" s="32"/>
      <c r="S61" s="32"/>
      <c r="T61" s="32"/>
      <c r="U61" s="32"/>
      <c r="V61" s="32"/>
      <c r="W61" s="32"/>
      <c r="X61" s="32"/>
      <c r="Y61" s="32"/>
      <c r="Z61" s="32"/>
      <c r="AA61" s="32"/>
      <c r="AB61" s="32"/>
    </row>
    <row r="62" spans="2:28" x14ac:dyDescent="0.2">
      <c r="B62" s="189"/>
      <c r="C62" s="190"/>
      <c r="D62" s="189"/>
      <c r="E62" s="189"/>
      <c r="F62" s="189"/>
      <c r="G62" s="195"/>
      <c r="H62" s="80" t="s">
        <v>835</v>
      </c>
      <c r="I62" s="189"/>
      <c r="J62" s="190"/>
      <c r="K62" s="189"/>
      <c r="L62" s="189"/>
      <c r="M62" s="183">
        <v>61524000</v>
      </c>
      <c r="N62" s="37"/>
      <c r="O62" s="32"/>
      <c r="P62" s="32"/>
      <c r="Q62" s="32"/>
      <c r="R62" s="32"/>
      <c r="S62" s="32"/>
      <c r="T62" s="32"/>
      <c r="U62" s="32"/>
      <c r="V62" s="32"/>
      <c r="W62" s="32"/>
      <c r="X62" s="32"/>
      <c r="Y62" s="32"/>
      <c r="Z62" s="32"/>
      <c r="AA62" s="32"/>
      <c r="AB62" s="32"/>
    </row>
    <row r="63" spans="2:28" x14ac:dyDescent="0.2">
      <c r="B63" s="189"/>
      <c r="C63" s="190"/>
      <c r="D63" s="189"/>
      <c r="E63" s="189"/>
      <c r="F63" s="189"/>
      <c r="G63" s="195"/>
      <c r="H63" s="80"/>
      <c r="I63" s="189"/>
      <c r="J63" s="190"/>
      <c r="K63" s="189"/>
      <c r="L63" s="189"/>
      <c r="M63" s="183"/>
      <c r="N63" s="37"/>
      <c r="O63" s="32"/>
      <c r="P63" s="32"/>
      <c r="Q63" s="32"/>
      <c r="R63" s="32"/>
      <c r="S63" s="32"/>
      <c r="T63" s="32"/>
      <c r="U63" s="32"/>
      <c r="V63" s="32"/>
      <c r="W63" s="32"/>
      <c r="X63" s="32"/>
      <c r="Y63" s="32"/>
      <c r="Z63" s="32"/>
      <c r="AA63" s="32"/>
      <c r="AB63" s="32"/>
    </row>
    <row r="64" spans="2:28" x14ac:dyDescent="0.2">
      <c r="B64" s="189" t="s">
        <v>285</v>
      </c>
      <c r="C64" s="190"/>
      <c r="D64" s="189"/>
      <c r="E64" s="189"/>
      <c r="F64" s="189"/>
      <c r="G64" s="195"/>
      <c r="H64" s="173" t="s">
        <v>439</v>
      </c>
      <c r="I64" s="189"/>
      <c r="J64" s="190"/>
      <c r="K64" s="189"/>
      <c r="L64" s="189"/>
      <c r="M64" s="91">
        <f>+M66+M68</f>
        <v>350000000</v>
      </c>
      <c r="N64" s="37"/>
      <c r="O64" s="32"/>
      <c r="P64" s="32"/>
      <c r="Q64" s="32"/>
      <c r="R64" s="32"/>
      <c r="S64" s="32"/>
      <c r="T64" s="32"/>
      <c r="U64" s="32"/>
      <c r="V64" s="32"/>
      <c r="W64" s="32"/>
      <c r="X64" s="32"/>
      <c r="Y64" s="32"/>
      <c r="Z64" s="32"/>
      <c r="AA64" s="32"/>
      <c r="AB64" s="32"/>
    </row>
    <row r="65" spans="2:28" ht="38.25" x14ac:dyDescent="0.2">
      <c r="B65" s="189"/>
      <c r="C65" s="190"/>
      <c r="D65" s="189" t="s">
        <v>756</v>
      </c>
      <c r="E65" s="196">
        <v>154</v>
      </c>
      <c r="F65" s="189" t="s">
        <v>1080</v>
      </c>
      <c r="G65" s="195"/>
      <c r="H65" s="80" t="s">
        <v>542</v>
      </c>
      <c r="I65" s="196">
        <v>116</v>
      </c>
      <c r="J65" s="190" t="s">
        <v>286</v>
      </c>
      <c r="K65" s="196">
        <v>35</v>
      </c>
      <c r="L65" s="189" t="s">
        <v>1217</v>
      </c>
      <c r="M65" s="194"/>
      <c r="N65" s="37"/>
      <c r="O65" s="32"/>
      <c r="P65" s="32"/>
      <c r="Q65" s="32"/>
      <c r="R65" s="32"/>
      <c r="S65" s="32"/>
      <c r="T65" s="32"/>
      <c r="U65" s="32"/>
      <c r="V65" s="32"/>
      <c r="W65" s="32"/>
      <c r="X65" s="32"/>
      <c r="Y65" s="32"/>
      <c r="Z65" s="32"/>
      <c r="AA65" s="32"/>
      <c r="AB65" s="32"/>
    </row>
    <row r="66" spans="2:28" ht="51" x14ac:dyDescent="0.2">
      <c r="B66" s="189"/>
      <c r="C66" s="190" t="s">
        <v>1219</v>
      </c>
      <c r="D66" s="189"/>
      <c r="E66" s="189"/>
      <c r="F66" s="189"/>
      <c r="G66" s="195">
        <v>296137</v>
      </c>
      <c r="H66" s="80" t="s">
        <v>1215</v>
      </c>
      <c r="I66" s="189"/>
      <c r="J66" s="190"/>
      <c r="K66" s="189"/>
      <c r="L66" s="189"/>
      <c r="M66" s="183">
        <f>+M67</f>
        <v>300000000</v>
      </c>
      <c r="N66" s="37"/>
      <c r="O66" s="32"/>
      <c r="P66" s="32"/>
      <c r="Q66" s="32"/>
      <c r="R66" s="32"/>
      <c r="S66" s="32"/>
      <c r="T66" s="32"/>
      <c r="U66" s="32"/>
      <c r="V66" s="32"/>
      <c r="W66" s="32"/>
      <c r="X66" s="32"/>
      <c r="Y66" s="32"/>
      <c r="Z66" s="32"/>
      <c r="AA66" s="32"/>
      <c r="AB66" s="32"/>
    </row>
    <row r="67" spans="2:28" x14ac:dyDescent="0.2">
      <c r="B67" s="189"/>
      <c r="C67" s="190"/>
      <c r="D67" s="189"/>
      <c r="E67" s="189"/>
      <c r="F67" s="189"/>
      <c r="G67" s="195"/>
      <c r="H67" s="80" t="s">
        <v>931</v>
      </c>
      <c r="I67" s="189"/>
      <c r="J67" s="190"/>
      <c r="K67" s="189"/>
      <c r="L67" s="189"/>
      <c r="M67" s="183">
        <v>300000000</v>
      </c>
      <c r="N67" s="37"/>
      <c r="O67" s="32"/>
      <c r="P67" s="32"/>
      <c r="Q67" s="32"/>
      <c r="R67" s="32"/>
      <c r="S67" s="32"/>
      <c r="T67" s="32"/>
      <c r="U67" s="32"/>
      <c r="V67" s="32"/>
      <c r="W67" s="32"/>
      <c r="X67" s="32"/>
      <c r="Y67" s="32"/>
      <c r="Z67" s="32"/>
      <c r="AA67" s="32"/>
      <c r="AB67" s="32"/>
    </row>
    <row r="68" spans="2:28" ht="38.25" x14ac:dyDescent="0.2">
      <c r="B68" s="189"/>
      <c r="C68" s="190" t="s">
        <v>10</v>
      </c>
      <c r="D68" s="189"/>
      <c r="E68" s="189"/>
      <c r="F68" s="189"/>
      <c r="G68" s="195">
        <v>296137</v>
      </c>
      <c r="H68" s="80" t="s">
        <v>1480</v>
      </c>
      <c r="I68" s="189"/>
      <c r="J68" s="190"/>
      <c r="K68" s="189"/>
      <c r="L68" s="189"/>
      <c r="M68" s="183">
        <f>+M69</f>
        <v>50000000</v>
      </c>
      <c r="N68" s="37"/>
      <c r="O68" s="32"/>
      <c r="P68" s="32"/>
      <c r="Q68" s="32"/>
      <c r="R68" s="32"/>
      <c r="S68" s="32"/>
      <c r="T68" s="32"/>
      <c r="U68" s="32"/>
      <c r="V68" s="32"/>
      <c r="W68" s="32"/>
      <c r="X68" s="32"/>
      <c r="Y68" s="32"/>
      <c r="Z68" s="32"/>
      <c r="AA68" s="32"/>
      <c r="AB68" s="32"/>
    </row>
    <row r="69" spans="2:28" x14ac:dyDescent="0.2">
      <c r="B69" s="189"/>
      <c r="C69" s="190"/>
      <c r="D69" s="189"/>
      <c r="E69" s="189"/>
      <c r="F69" s="189"/>
      <c r="G69" s="195"/>
      <c r="H69" s="80" t="s">
        <v>931</v>
      </c>
      <c r="I69" s="189"/>
      <c r="J69" s="190"/>
      <c r="K69" s="189"/>
      <c r="L69" s="189"/>
      <c r="M69" s="183">
        <v>50000000</v>
      </c>
      <c r="N69" s="37"/>
      <c r="O69" s="32"/>
      <c r="P69" s="32"/>
      <c r="Q69" s="32"/>
      <c r="R69" s="32"/>
      <c r="S69" s="32"/>
      <c r="T69" s="32"/>
      <c r="U69" s="32"/>
      <c r="V69" s="32"/>
      <c r="W69" s="32"/>
      <c r="X69" s="32"/>
      <c r="Y69" s="32"/>
      <c r="Z69" s="32"/>
      <c r="AA69" s="32"/>
      <c r="AB69" s="32"/>
    </row>
    <row r="70" spans="2:28" x14ac:dyDescent="0.2">
      <c r="B70" s="189"/>
      <c r="C70" s="190"/>
      <c r="D70" s="189"/>
      <c r="E70" s="189"/>
      <c r="F70" s="189"/>
      <c r="G70" s="195"/>
      <c r="H70" s="80"/>
      <c r="I70" s="189"/>
      <c r="J70" s="190"/>
      <c r="K70" s="189"/>
      <c r="L70" s="189"/>
      <c r="M70" s="183"/>
      <c r="N70" s="37"/>
      <c r="O70" s="32"/>
      <c r="P70" s="32"/>
      <c r="Q70" s="32"/>
      <c r="R70" s="32"/>
      <c r="S70" s="32"/>
      <c r="T70" s="32"/>
      <c r="U70" s="32"/>
      <c r="V70" s="32"/>
      <c r="W70" s="32"/>
      <c r="X70" s="32"/>
      <c r="Y70" s="32"/>
      <c r="Z70" s="32"/>
      <c r="AA70" s="32"/>
      <c r="AB70" s="32"/>
    </row>
    <row r="71" spans="2:28" x14ac:dyDescent="0.2">
      <c r="B71" s="189"/>
      <c r="C71" s="190"/>
      <c r="D71" s="189"/>
      <c r="E71" s="189"/>
      <c r="F71" s="189"/>
      <c r="G71" s="195"/>
      <c r="H71" s="80"/>
      <c r="I71" s="189"/>
      <c r="J71" s="190"/>
      <c r="K71" s="189"/>
      <c r="L71" s="189"/>
      <c r="M71" s="183" t="s">
        <v>1115</v>
      </c>
      <c r="N71" s="37"/>
      <c r="O71" s="32"/>
      <c r="P71" s="32"/>
      <c r="Q71" s="32"/>
      <c r="R71" s="32"/>
      <c r="S71" s="32"/>
      <c r="T71" s="32"/>
      <c r="U71" s="32"/>
      <c r="V71" s="32"/>
      <c r="W71" s="32"/>
      <c r="X71" s="32"/>
      <c r="Y71" s="32"/>
      <c r="Z71" s="32"/>
      <c r="AA71" s="32"/>
      <c r="AB71" s="32"/>
    </row>
    <row r="72" spans="2:28" x14ac:dyDescent="0.2">
      <c r="B72" s="189" t="s">
        <v>885</v>
      </c>
      <c r="C72" s="190"/>
      <c r="D72" s="189"/>
      <c r="E72" s="189"/>
      <c r="F72" s="189"/>
      <c r="G72" s="195"/>
      <c r="H72" s="173" t="s">
        <v>740</v>
      </c>
      <c r="I72" s="189"/>
      <c r="J72" s="190"/>
      <c r="K72" s="189"/>
      <c r="L72" s="189"/>
      <c r="M72" s="91">
        <f>+M74</f>
        <v>1231260000</v>
      </c>
      <c r="N72" s="37"/>
      <c r="O72" s="32"/>
      <c r="P72" s="32"/>
      <c r="Q72" s="32"/>
      <c r="R72" s="32"/>
      <c r="S72" s="32"/>
      <c r="T72" s="32"/>
      <c r="U72" s="32"/>
      <c r="V72" s="32"/>
      <c r="W72" s="32"/>
      <c r="X72" s="32"/>
      <c r="Y72" s="32"/>
      <c r="Z72" s="32"/>
      <c r="AA72" s="32"/>
      <c r="AB72" s="32"/>
    </row>
    <row r="73" spans="2:28" ht="25.5" x14ac:dyDescent="0.2">
      <c r="B73" s="189"/>
      <c r="C73" s="190"/>
      <c r="D73" s="189"/>
      <c r="E73" s="196">
        <v>160</v>
      </c>
      <c r="F73" s="189" t="s">
        <v>268</v>
      </c>
      <c r="G73" s="195"/>
      <c r="H73" s="80" t="s">
        <v>759</v>
      </c>
      <c r="I73" s="196">
        <v>30</v>
      </c>
      <c r="J73" s="190" t="s">
        <v>440</v>
      </c>
      <c r="K73" s="196"/>
      <c r="L73" s="189" t="s">
        <v>114</v>
      </c>
      <c r="M73" s="194"/>
      <c r="N73" s="37"/>
      <c r="O73" s="32"/>
      <c r="P73" s="32"/>
      <c r="Q73" s="32"/>
      <c r="R73" s="32"/>
      <c r="S73" s="32"/>
      <c r="T73" s="32"/>
      <c r="U73" s="32"/>
      <c r="V73" s="32"/>
      <c r="W73" s="32"/>
      <c r="X73" s="32"/>
      <c r="Y73" s="32"/>
      <c r="Z73" s="32"/>
      <c r="AA73" s="32"/>
      <c r="AB73" s="32"/>
    </row>
    <row r="74" spans="2:28" x14ac:dyDescent="0.2">
      <c r="B74" s="189" t="s">
        <v>857</v>
      </c>
      <c r="C74" s="190"/>
      <c r="D74" s="189"/>
      <c r="E74" s="189"/>
      <c r="F74" s="189"/>
      <c r="G74" s="195"/>
      <c r="H74" s="173" t="s">
        <v>839</v>
      </c>
      <c r="I74" s="189"/>
      <c r="J74" s="190"/>
      <c r="K74" s="189"/>
      <c r="L74" s="189"/>
      <c r="M74" s="91">
        <f>+M77+M80</f>
        <v>1231260000</v>
      </c>
      <c r="N74" s="37"/>
      <c r="O74" s="32"/>
      <c r="P74" s="32"/>
      <c r="Q74" s="32"/>
      <c r="R74" s="32"/>
      <c r="S74" s="32"/>
      <c r="T74" s="32"/>
      <c r="U74" s="32"/>
      <c r="V74" s="32"/>
      <c r="W74" s="32"/>
      <c r="X74" s="32"/>
      <c r="Y74" s="32"/>
      <c r="Z74" s="32"/>
      <c r="AA74" s="32"/>
      <c r="AB74" s="32"/>
    </row>
    <row r="75" spans="2:28" ht="38.25" x14ac:dyDescent="0.2">
      <c r="B75" s="189"/>
      <c r="C75" s="190"/>
      <c r="D75" s="189" t="s">
        <v>806</v>
      </c>
      <c r="E75" s="196">
        <v>161</v>
      </c>
      <c r="F75" s="189" t="s">
        <v>1080</v>
      </c>
      <c r="G75" s="195"/>
      <c r="H75" s="80" t="s">
        <v>993</v>
      </c>
      <c r="I75" s="196">
        <v>116</v>
      </c>
      <c r="J75" s="190" t="s">
        <v>286</v>
      </c>
      <c r="K75" s="196">
        <v>17</v>
      </c>
      <c r="L75" s="189" t="s">
        <v>1220</v>
      </c>
      <c r="M75" s="194"/>
      <c r="N75" s="37"/>
      <c r="O75" s="32"/>
      <c r="P75" s="32"/>
      <c r="Q75" s="32"/>
      <c r="R75" s="32"/>
      <c r="S75" s="32"/>
      <c r="T75" s="32"/>
      <c r="U75" s="32"/>
      <c r="V75" s="32"/>
      <c r="W75" s="32"/>
      <c r="X75" s="32"/>
      <c r="Y75" s="32"/>
      <c r="Z75" s="32"/>
      <c r="AA75" s="32"/>
      <c r="AB75" s="32"/>
    </row>
    <row r="76" spans="2:28" ht="38.25" x14ac:dyDescent="0.2">
      <c r="B76" s="189"/>
      <c r="C76" s="190"/>
      <c r="D76" s="189" t="s">
        <v>756</v>
      </c>
      <c r="E76" s="196">
        <v>162</v>
      </c>
      <c r="F76" s="189" t="s">
        <v>1080</v>
      </c>
      <c r="G76" s="195"/>
      <c r="H76" s="80" t="s">
        <v>974</v>
      </c>
      <c r="I76" s="196">
        <v>100</v>
      </c>
      <c r="J76" s="190" t="s">
        <v>57</v>
      </c>
      <c r="K76" s="196">
        <v>56</v>
      </c>
      <c r="L76" s="189" t="s">
        <v>1217</v>
      </c>
      <c r="M76" s="194"/>
      <c r="N76" s="37"/>
      <c r="O76" s="32"/>
      <c r="P76" s="32"/>
      <c r="Q76" s="32"/>
      <c r="R76" s="32"/>
      <c r="S76" s="32"/>
      <c r="T76" s="32"/>
      <c r="U76" s="32"/>
      <c r="V76" s="32"/>
      <c r="W76" s="32"/>
      <c r="X76" s="32"/>
      <c r="Y76" s="32"/>
      <c r="Z76" s="32"/>
      <c r="AA76" s="32"/>
      <c r="AB76" s="32"/>
    </row>
    <row r="77" spans="2:28" ht="51" x14ac:dyDescent="0.2">
      <c r="B77" s="189"/>
      <c r="C77" s="190" t="s">
        <v>1159</v>
      </c>
      <c r="D77" s="189"/>
      <c r="E77" s="189"/>
      <c r="F77" s="189"/>
      <c r="G77" s="195">
        <v>296138</v>
      </c>
      <c r="H77" s="80" t="s">
        <v>1221</v>
      </c>
      <c r="I77" s="189"/>
      <c r="J77" s="190"/>
      <c r="K77" s="189"/>
      <c r="L77" s="189"/>
      <c r="M77" s="183">
        <f>+M78+M79</f>
        <v>824760000</v>
      </c>
      <c r="N77" s="37"/>
      <c r="O77" s="32"/>
      <c r="P77" s="32"/>
      <c r="Q77" s="32"/>
      <c r="R77" s="32"/>
      <c r="S77" s="32"/>
      <c r="T77" s="32"/>
      <c r="U77" s="32"/>
      <c r="V77" s="32"/>
      <c r="W77" s="32"/>
      <c r="X77" s="32"/>
      <c r="Y77" s="32"/>
      <c r="Z77" s="32"/>
      <c r="AA77" s="32"/>
      <c r="AB77" s="32"/>
    </row>
    <row r="78" spans="2:28" x14ac:dyDescent="0.2">
      <c r="B78" s="189"/>
      <c r="C78" s="190"/>
      <c r="D78" s="189"/>
      <c r="E78" s="189"/>
      <c r="F78" s="189"/>
      <c r="G78" s="195"/>
      <c r="H78" s="80" t="s">
        <v>835</v>
      </c>
      <c r="I78" s="189"/>
      <c r="J78" s="190"/>
      <c r="K78" s="189"/>
      <c r="L78" s="189"/>
      <c r="M78" s="183">
        <v>565500000</v>
      </c>
      <c r="N78" s="37"/>
      <c r="O78" s="32"/>
      <c r="P78" s="32"/>
      <c r="Q78" s="32"/>
      <c r="R78" s="32"/>
      <c r="S78" s="32"/>
      <c r="T78" s="32"/>
      <c r="U78" s="32"/>
      <c r="V78" s="32"/>
      <c r="W78" s="32"/>
      <c r="X78" s="32"/>
      <c r="Y78" s="32"/>
      <c r="Z78" s="32"/>
      <c r="AA78" s="32"/>
      <c r="AB78" s="32"/>
    </row>
    <row r="79" spans="2:28" x14ac:dyDescent="0.2">
      <c r="B79" s="189"/>
      <c r="C79" s="190"/>
      <c r="D79" s="189"/>
      <c r="E79" s="189"/>
      <c r="F79" s="189"/>
      <c r="G79" s="195"/>
      <c r="H79" s="80" t="s">
        <v>931</v>
      </c>
      <c r="I79" s="189"/>
      <c r="J79" s="190"/>
      <c r="K79" s="189"/>
      <c r="L79" s="189"/>
      <c r="M79" s="183">
        <v>259260000</v>
      </c>
      <c r="N79" s="37"/>
      <c r="O79" s="32"/>
      <c r="P79" s="32"/>
      <c r="Q79" s="32"/>
      <c r="R79" s="32"/>
      <c r="S79" s="32"/>
      <c r="T79" s="32"/>
      <c r="U79" s="32"/>
      <c r="V79" s="32"/>
      <c r="W79" s="32"/>
      <c r="X79" s="32"/>
      <c r="Y79" s="32"/>
      <c r="Z79" s="32"/>
      <c r="AA79" s="32"/>
      <c r="AB79" s="32"/>
    </row>
    <row r="80" spans="2:28" ht="38.25" x14ac:dyDescent="0.2">
      <c r="B80" s="189"/>
      <c r="C80" s="190" t="s">
        <v>10</v>
      </c>
      <c r="D80" s="189"/>
      <c r="E80" s="189"/>
      <c r="F80" s="189"/>
      <c r="G80" s="195">
        <v>296138</v>
      </c>
      <c r="H80" s="80" t="s">
        <v>1481</v>
      </c>
      <c r="I80" s="189"/>
      <c r="J80" s="190"/>
      <c r="K80" s="189"/>
      <c r="L80" s="189"/>
      <c r="M80" s="183">
        <f>+M81+M82</f>
        <v>406500000</v>
      </c>
      <c r="N80" s="37"/>
      <c r="O80" s="32"/>
      <c r="P80" s="32"/>
      <c r="Q80" s="32"/>
      <c r="R80" s="32"/>
      <c r="S80" s="32"/>
      <c r="T80" s="32"/>
      <c r="U80" s="32"/>
      <c r="V80" s="32"/>
      <c r="W80" s="32"/>
      <c r="X80" s="32"/>
      <c r="Y80" s="32"/>
      <c r="Z80" s="32"/>
      <c r="AA80" s="32"/>
      <c r="AB80" s="32"/>
    </row>
    <row r="81" spans="2:28" x14ac:dyDescent="0.2">
      <c r="B81" s="189"/>
      <c r="C81" s="190"/>
      <c r="D81" s="189"/>
      <c r="E81" s="189"/>
      <c r="F81" s="189"/>
      <c r="G81" s="195"/>
      <c r="H81" s="80" t="s">
        <v>835</v>
      </c>
      <c r="I81" s="189"/>
      <c r="J81" s="190"/>
      <c r="K81" s="189"/>
      <c r="L81" s="189"/>
      <c r="M81" s="183">
        <f>327932100+298567900-300000000</f>
        <v>326500000</v>
      </c>
      <c r="N81" s="37"/>
      <c r="O81" s="32"/>
      <c r="P81" s="32"/>
      <c r="Q81" s="32"/>
      <c r="R81" s="32"/>
      <c r="S81" s="32"/>
      <c r="T81" s="32"/>
      <c r="U81" s="32"/>
      <c r="V81" s="32"/>
      <c r="W81" s="32"/>
      <c r="X81" s="32"/>
      <c r="Y81" s="32"/>
      <c r="Z81" s="32"/>
      <c r="AA81" s="32"/>
      <c r="AB81" s="32"/>
    </row>
    <row r="82" spans="2:28" x14ac:dyDescent="0.2">
      <c r="B82" s="189"/>
      <c r="C82" s="190"/>
      <c r="D82" s="189"/>
      <c r="E82" s="189"/>
      <c r="F82" s="189"/>
      <c r="G82" s="195"/>
      <c r="H82" s="80" t="s">
        <v>931</v>
      </c>
      <c r="I82" s="189"/>
      <c r="J82" s="190"/>
      <c r="K82" s="189"/>
      <c r="L82" s="189"/>
      <c r="M82" s="183">
        <f>50000000+30000000</f>
        <v>80000000</v>
      </c>
      <c r="N82" s="37"/>
      <c r="O82" s="32"/>
      <c r="P82" s="32"/>
      <c r="Q82" s="32"/>
      <c r="R82" s="32"/>
      <c r="S82" s="32"/>
      <c r="T82" s="32"/>
      <c r="U82" s="32"/>
      <c r="V82" s="32"/>
      <c r="W82" s="32"/>
      <c r="X82" s="32"/>
      <c r="Y82" s="32"/>
      <c r="Z82" s="32"/>
      <c r="AA82" s="32"/>
      <c r="AB82" s="32"/>
    </row>
    <row r="83" spans="2:28" x14ac:dyDescent="0.2">
      <c r="B83" s="189"/>
      <c r="C83" s="190"/>
      <c r="D83" s="189"/>
      <c r="E83" s="189"/>
      <c r="F83" s="189"/>
      <c r="G83" s="195"/>
      <c r="H83" s="80"/>
      <c r="I83" s="189"/>
      <c r="J83" s="190"/>
      <c r="K83" s="189"/>
      <c r="L83" s="189"/>
      <c r="M83" s="183"/>
      <c r="N83" s="37"/>
      <c r="O83" s="32"/>
      <c r="P83" s="32"/>
      <c r="Q83" s="32"/>
      <c r="R83" s="32"/>
      <c r="S83" s="32"/>
      <c r="T83" s="32"/>
      <c r="U83" s="32"/>
      <c r="V83" s="32"/>
      <c r="W83" s="32"/>
      <c r="X83" s="32"/>
      <c r="Y83" s="32"/>
      <c r="Z83" s="32"/>
      <c r="AA83" s="32"/>
      <c r="AB83" s="32"/>
    </row>
    <row r="84" spans="2:28" x14ac:dyDescent="0.2">
      <c r="B84" s="189" t="s">
        <v>450</v>
      </c>
      <c r="C84" s="190"/>
      <c r="D84" s="189"/>
      <c r="E84" s="189"/>
      <c r="F84" s="189"/>
      <c r="G84" s="195"/>
      <c r="H84" s="173" t="s">
        <v>299</v>
      </c>
      <c r="I84" s="189"/>
      <c r="J84" s="190"/>
      <c r="K84" s="189"/>
      <c r="L84" s="189"/>
      <c r="M84" s="91">
        <f>+M86</f>
        <v>560000000</v>
      </c>
      <c r="N84" s="37"/>
      <c r="O84" s="32"/>
      <c r="P84" s="32"/>
      <c r="Q84" s="32"/>
      <c r="R84" s="32"/>
      <c r="S84" s="32"/>
      <c r="T84" s="32"/>
      <c r="U84" s="32"/>
      <c r="V84" s="32"/>
      <c r="W84" s="32"/>
      <c r="X84" s="32"/>
      <c r="Y84" s="32"/>
      <c r="Z84" s="32"/>
      <c r="AA84" s="32"/>
      <c r="AB84" s="32"/>
    </row>
    <row r="85" spans="2:28" ht="38.25" x14ac:dyDescent="0.2">
      <c r="B85" s="189"/>
      <c r="C85" s="190"/>
      <c r="D85" s="189"/>
      <c r="E85" s="196">
        <v>179</v>
      </c>
      <c r="F85" s="189" t="s">
        <v>268</v>
      </c>
      <c r="G85" s="195"/>
      <c r="H85" s="80" t="s">
        <v>1057</v>
      </c>
      <c r="I85" s="196">
        <v>5</v>
      </c>
      <c r="J85" s="190" t="s">
        <v>440</v>
      </c>
      <c r="K85" s="196"/>
      <c r="L85" s="189" t="s">
        <v>301</v>
      </c>
      <c r="M85" s="194"/>
      <c r="N85" s="37"/>
      <c r="O85" s="32"/>
      <c r="P85" s="32"/>
      <c r="Q85" s="32"/>
      <c r="R85" s="32"/>
      <c r="S85" s="32"/>
      <c r="T85" s="32"/>
      <c r="U85" s="32"/>
      <c r="V85" s="32"/>
      <c r="W85" s="32"/>
      <c r="X85" s="32"/>
      <c r="Y85" s="32"/>
      <c r="Z85" s="32"/>
      <c r="AA85" s="32"/>
      <c r="AB85" s="32"/>
    </row>
    <row r="86" spans="2:28" x14ac:dyDescent="0.2">
      <c r="B86" s="189" t="s">
        <v>857</v>
      </c>
      <c r="C86" s="190"/>
      <c r="D86" s="189"/>
      <c r="E86" s="189"/>
      <c r="F86" s="189"/>
      <c r="G86" s="195"/>
      <c r="H86" s="173" t="s">
        <v>839</v>
      </c>
      <c r="I86" s="189"/>
      <c r="J86" s="190"/>
      <c r="K86" s="189"/>
      <c r="L86" s="189"/>
      <c r="M86" s="91">
        <f>+M89+M91</f>
        <v>560000000</v>
      </c>
      <c r="N86" s="37"/>
      <c r="O86" s="32"/>
      <c r="P86" s="32"/>
      <c r="Q86" s="32"/>
      <c r="R86" s="32"/>
      <c r="S86" s="32"/>
      <c r="T86" s="32"/>
      <c r="U86" s="32"/>
      <c r="V86" s="32"/>
      <c r="W86" s="32"/>
      <c r="X86" s="32"/>
      <c r="Y86" s="32"/>
      <c r="Z86" s="32"/>
      <c r="AA86" s="32"/>
      <c r="AB86" s="32"/>
    </row>
    <row r="87" spans="2:28" ht="38.25" x14ac:dyDescent="0.2">
      <c r="B87" s="189"/>
      <c r="C87" s="190"/>
      <c r="D87" s="189" t="s">
        <v>251</v>
      </c>
      <c r="E87" s="196">
        <v>180</v>
      </c>
      <c r="F87" s="189" t="s">
        <v>1080</v>
      </c>
      <c r="G87" s="195"/>
      <c r="H87" s="80" t="s">
        <v>532</v>
      </c>
      <c r="I87" s="196">
        <v>100</v>
      </c>
      <c r="J87" s="190" t="s">
        <v>57</v>
      </c>
      <c r="K87" s="196">
        <v>9</v>
      </c>
      <c r="L87" s="189" t="s">
        <v>1220</v>
      </c>
      <c r="M87" s="91"/>
      <c r="N87" s="37"/>
      <c r="O87" s="32"/>
      <c r="P87" s="32"/>
      <c r="Q87" s="32"/>
      <c r="R87" s="32"/>
      <c r="S87" s="32"/>
      <c r="T87" s="32"/>
      <c r="U87" s="32"/>
      <c r="V87" s="32"/>
      <c r="W87" s="32"/>
      <c r="X87" s="32"/>
      <c r="Y87" s="32"/>
      <c r="Z87" s="32"/>
      <c r="AA87" s="32"/>
      <c r="AB87" s="32"/>
    </row>
    <row r="88" spans="2:28" ht="25.5" x14ac:dyDescent="0.2">
      <c r="B88" s="189"/>
      <c r="C88" s="190"/>
      <c r="D88" s="189" t="s">
        <v>160</v>
      </c>
      <c r="E88" s="196">
        <v>181</v>
      </c>
      <c r="F88" s="189" t="s">
        <v>1080</v>
      </c>
      <c r="G88" s="195"/>
      <c r="H88" s="80" t="s">
        <v>893</v>
      </c>
      <c r="I88" s="196">
        <v>40000</v>
      </c>
      <c r="J88" s="190" t="s">
        <v>44</v>
      </c>
      <c r="K88" s="196">
        <v>8300</v>
      </c>
      <c r="L88" s="196">
        <v>13000</v>
      </c>
      <c r="M88" s="194"/>
      <c r="N88" s="37"/>
      <c r="O88" s="32"/>
      <c r="P88" s="32"/>
      <c r="Q88" s="32"/>
      <c r="R88" s="32"/>
      <c r="S88" s="32"/>
      <c r="T88" s="32"/>
      <c r="U88" s="32"/>
      <c r="V88" s="32"/>
      <c r="W88" s="32"/>
      <c r="X88" s="32"/>
      <c r="Y88" s="32"/>
      <c r="Z88" s="32"/>
      <c r="AA88" s="32"/>
      <c r="AB88" s="32"/>
    </row>
    <row r="89" spans="2:28" ht="51" x14ac:dyDescent="0.2">
      <c r="B89" s="189"/>
      <c r="C89" s="190" t="s">
        <v>1159</v>
      </c>
      <c r="D89" s="189"/>
      <c r="E89" s="189"/>
      <c r="F89" s="189"/>
      <c r="G89" s="195">
        <v>296139</v>
      </c>
      <c r="H89" s="80" t="s">
        <v>1222</v>
      </c>
      <c r="I89" s="189"/>
      <c r="J89" s="190"/>
      <c r="K89" s="189"/>
      <c r="L89" s="189"/>
      <c r="M89" s="183">
        <f>+M90</f>
        <v>113100000</v>
      </c>
      <c r="N89" s="37"/>
      <c r="O89" s="32"/>
      <c r="P89" s="32"/>
      <c r="Q89" s="32"/>
      <c r="R89" s="32"/>
      <c r="S89" s="32"/>
      <c r="T89" s="32"/>
      <c r="U89" s="32"/>
      <c r="V89" s="32"/>
      <c r="W89" s="32"/>
      <c r="X89" s="32"/>
      <c r="Y89" s="32"/>
      <c r="Z89" s="32"/>
      <c r="AA89" s="32"/>
      <c r="AB89" s="32"/>
    </row>
    <row r="90" spans="2:28" x14ac:dyDescent="0.2">
      <c r="B90" s="189"/>
      <c r="C90" s="190"/>
      <c r="D90" s="189"/>
      <c r="E90" s="189"/>
      <c r="F90" s="189"/>
      <c r="G90" s="195"/>
      <c r="H90" s="80" t="s">
        <v>835</v>
      </c>
      <c r="I90" s="189"/>
      <c r="J90" s="190"/>
      <c r="K90" s="189"/>
      <c r="L90" s="189"/>
      <c r="M90" s="183">
        <v>113100000</v>
      </c>
      <c r="N90" s="37"/>
      <c r="O90" s="32"/>
      <c r="P90" s="32"/>
      <c r="Q90" s="32"/>
      <c r="R90" s="32"/>
      <c r="S90" s="32"/>
      <c r="T90" s="32"/>
      <c r="U90" s="32"/>
      <c r="V90" s="32"/>
      <c r="W90" s="32"/>
      <c r="X90" s="32"/>
      <c r="Y90" s="32"/>
      <c r="Z90" s="32"/>
      <c r="AA90" s="32"/>
      <c r="AB90" s="32"/>
    </row>
    <row r="91" spans="2:28" ht="38.25" x14ac:dyDescent="0.2">
      <c r="B91" s="189"/>
      <c r="C91" s="190" t="s">
        <v>10</v>
      </c>
      <c r="D91" s="189"/>
      <c r="E91" s="189"/>
      <c r="F91" s="189"/>
      <c r="G91" s="195">
        <v>296139</v>
      </c>
      <c r="H91" s="80" t="s">
        <v>1482</v>
      </c>
      <c r="I91" s="189"/>
      <c r="J91" s="190"/>
      <c r="K91" s="189"/>
      <c r="L91" s="189"/>
      <c r="M91" s="183">
        <f>+M92+M93</f>
        <v>446900000</v>
      </c>
      <c r="N91" s="37"/>
      <c r="O91" s="32"/>
      <c r="P91" s="32"/>
      <c r="Q91" s="32"/>
      <c r="R91" s="32"/>
      <c r="S91" s="32"/>
      <c r="T91" s="32"/>
      <c r="U91" s="32"/>
      <c r="V91" s="32"/>
      <c r="W91" s="32"/>
      <c r="X91" s="32"/>
      <c r="Y91" s="32"/>
      <c r="Z91" s="32"/>
      <c r="AA91" s="32"/>
      <c r="AB91" s="32"/>
    </row>
    <row r="92" spans="2:28" x14ac:dyDescent="0.2">
      <c r="B92" s="189"/>
      <c r="C92" s="190"/>
      <c r="D92" s="189"/>
      <c r="E92" s="189"/>
      <c r="F92" s="189"/>
      <c r="G92" s="195"/>
      <c r="H92" s="80" t="s">
        <v>835</v>
      </c>
      <c r="I92" s="189"/>
      <c r="J92" s="190"/>
      <c r="K92" s="189"/>
      <c r="L92" s="189"/>
      <c r="M92" s="183">
        <f>200000000+136900000+330000000-250000000</f>
        <v>416900000</v>
      </c>
      <c r="N92" s="37"/>
      <c r="O92" s="32"/>
      <c r="P92" s="32"/>
      <c r="Q92" s="32"/>
      <c r="R92" s="32"/>
      <c r="S92" s="32"/>
      <c r="T92" s="32"/>
      <c r="U92" s="32"/>
      <c r="V92" s="32"/>
      <c r="W92" s="32"/>
      <c r="X92" s="32"/>
      <c r="Y92" s="32"/>
      <c r="Z92" s="32"/>
      <c r="AA92" s="32"/>
      <c r="AB92" s="32"/>
    </row>
    <row r="93" spans="2:28" x14ac:dyDescent="0.2">
      <c r="B93" s="189"/>
      <c r="C93" s="190"/>
      <c r="D93" s="189"/>
      <c r="E93" s="189"/>
      <c r="F93" s="189"/>
      <c r="G93" s="195"/>
      <c r="H93" s="80" t="s">
        <v>931</v>
      </c>
      <c r="I93" s="189"/>
      <c r="J93" s="190"/>
      <c r="K93" s="189"/>
      <c r="L93" s="189"/>
      <c r="M93" s="183">
        <v>30000000</v>
      </c>
      <c r="N93" s="37"/>
      <c r="O93" s="32"/>
      <c r="P93" s="32"/>
      <c r="Q93" s="32"/>
      <c r="R93" s="32"/>
      <c r="S93" s="32"/>
      <c r="T93" s="32"/>
      <c r="U93" s="32"/>
      <c r="V93" s="32"/>
      <c r="W93" s="32"/>
      <c r="X93" s="32"/>
      <c r="Y93" s="32"/>
      <c r="Z93" s="32"/>
      <c r="AA93" s="32"/>
      <c r="AB93" s="32"/>
    </row>
    <row r="94" spans="2:28" x14ac:dyDescent="0.2">
      <c r="B94" s="189"/>
      <c r="C94" s="190"/>
      <c r="D94" s="189"/>
      <c r="E94" s="189"/>
      <c r="F94" s="189"/>
      <c r="G94" s="195"/>
      <c r="H94" s="80"/>
      <c r="I94" s="189"/>
      <c r="J94" s="190"/>
      <c r="K94" s="189"/>
      <c r="L94" s="189"/>
      <c r="M94" s="183"/>
      <c r="N94" s="37"/>
      <c r="O94" s="32"/>
      <c r="P94" s="32"/>
      <c r="Q94" s="32"/>
      <c r="R94" s="32"/>
      <c r="S94" s="32"/>
      <c r="T94" s="32"/>
      <c r="U94" s="32"/>
      <c r="V94" s="32"/>
      <c r="W94" s="32"/>
      <c r="X94" s="32"/>
      <c r="Y94" s="32"/>
      <c r="Z94" s="32"/>
      <c r="AA94" s="32"/>
      <c r="AB94" s="32"/>
    </row>
    <row r="95" spans="2:28" ht="25.5" x14ac:dyDescent="0.2">
      <c r="B95" s="189" t="s">
        <v>1069</v>
      </c>
      <c r="C95" s="190"/>
      <c r="D95" s="189"/>
      <c r="E95" s="189"/>
      <c r="F95" s="189"/>
      <c r="G95" s="195"/>
      <c r="H95" s="173" t="s">
        <v>101</v>
      </c>
      <c r="I95" s="189"/>
      <c r="J95" s="190"/>
      <c r="K95" s="189"/>
      <c r="L95" s="189"/>
      <c r="M95" s="91">
        <f>+M97</f>
        <v>225478800</v>
      </c>
      <c r="N95" s="37"/>
      <c r="O95" s="32"/>
      <c r="P95" s="32"/>
      <c r="Q95" s="32"/>
      <c r="R95" s="32"/>
      <c r="S95" s="32"/>
      <c r="T95" s="32"/>
      <c r="U95" s="32"/>
      <c r="V95" s="32"/>
      <c r="W95" s="32"/>
      <c r="X95" s="32"/>
      <c r="Y95" s="32"/>
      <c r="Z95" s="32"/>
      <c r="AA95" s="32"/>
      <c r="AB95" s="32"/>
    </row>
    <row r="96" spans="2:28" ht="25.5" x14ac:dyDescent="0.2">
      <c r="B96" s="189"/>
      <c r="C96" s="190"/>
      <c r="D96" s="189"/>
      <c r="E96" s="196">
        <v>269</v>
      </c>
      <c r="F96" s="189" t="s">
        <v>268</v>
      </c>
      <c r="G96" s="195"/>
      <c r="H96" s="80" t="s">
        <v>360</v>
      </c>
      <c r="I96" s="196">
        <v>116</v>
      </c>
      <c r="J96" s="190" t="s">
        <v>286</v>
      </c>
      <c r="K96" s="196"/>
      <c r="L96" s="189" t="s">
        <v>1223</v>
      </c>
      <c r="M96" s="194"/>
      <c r="N96" s="37"/>
      <c r="O96" s="32"/>
      <c r="P96" s="32"/>
      <c r="Q96" s="32"/>
      <c r="R96" s="32"/>
      <c r="S96" s="32"/>
      <c r="T96" s="32"/>
      <c r="U96" s="32"/>
      <c r="V96" s="32"/>
      <c r="W96" s="32"/>
      <c r="X96" s="32"/>
      <c r="Y96" s="32"/>
      <c r="Z96" s="32"/>
      <c r="AA96" s="32"/>
      <c r="AB96" s="32"/>
    </row>
    <row r="97" spans="2:28" x14ac:dyDescent="0.2">
      <c r="B97" s="189" t="s">
        <v>955</v>
      </c>
      <c r="C97" s="190"/>
      <c r="D97" s="189"/>
      <c r="E97" s="189"/>
      <c r="F97" s="189"/>
      <c r="G97" s="195"/>
      <c r="H97" s="173" t="s">
        <v>667</v>
      </c>
      <c r="I97" s="189"/>
      <c r="J97" s="190"/>
      <c r="K97" s="189"/>
      <c r="L97" s="189"/>
      <c r="M97" s="91">
        <f>+M103+M106</f>
        <v>225478800</v>
      </c>
      <c r="N97" s="37"/>
      <c r="O97" s="32"/>
      <c r="P97" s="32"/>
      <c r="Q97" s="32"/>
      <c r="R97" s="32"/>
      <c r="S97" s="32"/>
      <c r="T97" s="32"/>
      <c r="U97" s="32"/>
      <c r="V97" s="32"/>
      <c r="W97" s="32"/>
      <c r="X97" s="32"/>
      <c r="Y97" s="32"/>
      <c r="Z97" s="32"/>
      <c r="AA97" s="32"/>
      <c r="AB97" s="32"/>
    </row>
    <row r="98" spans="2:28" ht="38.25" x14ac:dyDescent="0.2">
      <c r="B98" s="189"/>
      <c r="C98" s="190"/>
      <c r="D98" s="189" t="s">
        <v>43</v>
      </c>
      <c r="E98" s="196">
        <v>282</v>
      </c>
      <c r="F98" s="189" t="s">
        <v>1080</v>
      </c>
      <c r="G98" s="195"/>
      <c r="H98" s="80" t="s">
        <v>210</v>
      </c>
      <c r="I98" s="196">
        <v>100</v>
      </c>
      <c r="J98" s="190" t="s">
        <v>804</v>
      </c>
      <c r="K98" s="196">
        <v>100</v>
      </c>
      <c r="L98" s="189" t="s">
        <v>1165</v>
      </c>
      <c r="M98" s="91"/>
      <c r="N98" s="37"/>
      <c r="O98" s="32"/>
      <c r="P98" s="32"/>
      <c r="Q98" s="32"/>
      <c r="R98" s="32"/>
      <c r="S98" s="32"/>
      <c r="T98" s="32"/>
      <c r="U98" s="32"/>
      <c r="V98" s="32"/>
      <c r="W98" s="32"/>
      <c r="X98" s="32"/>
      <c r="Y98" s="32"/>
      <c r="Z98" s="32"/>
      <c r="AA98" s="32"/>
      <c r="AB98" s="32"/>
    </row>
    <row r="99" spans="2:28" ht="38.25" x14ac:dyDescent="0.2">
      <c r="B99" s="189"/>
      <c r="C99" s="190"/>
      <c r="D99" s="189" t="s">
        <v>538</v>
      </c>
      <c r="E99" s="196">
        <v>289</v>
      </c>
      <c r="F99" s="189" t="s">
        <v>1080</v>
      </c>
      <c r="G99" s="195"/>
      <c r="H99" s="80" t="s">
        <v>435</v>
      </c>
      <c r="I99" s="196">
        <v>100</v>
      </c>
      <c r="J99" s="190" t="s">
        <v>804</v>
      </c>
      <c r="K99" s="196">
        <v>100</v>
      </c>
      <c r="L99" s="189" t="s">
        <v>1165</v>
      </c>
      <c r="M99" s="91"/>
      <c r="N99" s="37"/>
      <c r="O99" s="32"/>
      <c r="P99" s="32"/>
      <c r="Q99" s="32"/>
      <c r="R99" s="32"/>
      <c r="S99" s="32"/>
      <c r="T99" s="32"/>
      <c r="U99" s="32"/>
      <c r="V99" s="32"/>
      <c r="W99" s="32"/>
      <c r="X99" s="32"/>
      <c r="Y99" s="32"/>
      <c r="Z99" s="32"/>
      <c r="AA99" s="32"/>
      <c r="AB99" s="32"/>
    </row>
    <row r="100" spans="2:28" ht="38.25" x14ac:dyDescent="0.2">
      <c r="B100" s="189"/>
      <c r="C100" s="190"/>
      <c r="D100" s="189" t="s">
        <v>746</v>
      </c>
      <c r="E100" s="196">
        <v>290</v>
      </c>
      <c r="F100" s="189" t="s">
        <v>1080</v>
      </c>
      <c r="G100" s="195"/>
      <c r="H100" s="80" t="s">
        <v>220</v>
      </c>
      <c r="I100" s="196">
        <v>100</v>
      </c>
      <c r="J100" s="190" t="s">
        <v>804</v>
      </c>
      <c r="K100" s="196">
        <v>100</v>
      </c>
      <c r="L100" s="189" t="s">
        <v>1165</v>
      </c>
      <c r="M100" s="91"/>
      <c r="N100" s="37"/>
      <c r="O100" s="32"/>
      <c r="P100" s="32"/>
      <c r="Q100" s="32"/>
      <c r="R100" s="32"/>
      <c r="S100" s="32"/>
      <c r="T100" s="32"/>
      <c r="U100" s="32"/>
      <c r="V100" s="32"/>
      <c r="W100" s="32"/>
      <c r="X100" s="32"/>
      <c r="Y100" s="32"/>
      <c r="Z100" s="32"/>
      <c r="AA100" s="32"/>
      <c r="AB100" s="32"/>
    </row>
    <row r="101" spans="2:28" ht="38.25" x14ac:dyDescent="0.2">
      <c r="B101" s="189"/>
      <c r="C101" s="190"/>
      <c r="D101" s="189" t="s">
        <v>335</v>
      </c>
      <c r="E101" s="196">
        <v>291</v>
      </c>
      <c r="F101" s="189" t="s">
        <v>1080</v>
      </c>
      <c r="G101" s="195"/>
      <c r="H101" s="80" t="s">
        <v>996</v>
      </c>
      <c r="I101" s="196">
        <v>600</v>
      </c>
      <c r="J101" s="190" t="s">
        <v>816</v>
      </c>
      <c r="K101" s="196">
        <v>230</v>
      </c>
      <c r="L101" s="189" t="s">
        <v>1284</v>
      </c>
      <c r="M101" s="194"/>
      <c r="N101" s="37"/>
      <c r="O101" s="32"/>
      <c r="P101" s="32"/>
      <c r="Q101" s="32"/>
      <c r="R101" s="32"/>
      <c r="S101" s="32"/>
      <c r="T101" s="32"/>
      <c r="U101" s="32"/>
      <c r="V101" s="32"/>
      <c r="W101" s="32"/>
      <c r="X101" s="32"/>
      <c r="Y101" s="32"/>
      <c r="Z101" s="32"/>
      <c r="AA101" s="32"/>
      <c r="AB101" s="32"/>
    </row>
    <row r="102" spans="2:28" x14ac:dyDescent="0.2">
      <c r="B102" s="189"/>
      <c r="C102" s="190"/>
      <c r="D102" s="175"/>
      <c r="E102" s="175"/>
      <c r="F102" s="175"/>
      <c r="G102" s="175"/>
      <c r="H102" s="175"/>
      <c r="I102" s="175"/>
      <c r="J102" s="175"/>
      <c r="K102" s="175"/>
      <c r="L102" s="175"/>
      <c r="M102" s="194"/>
      <c r="N102" s="37"/>
      <c r="O102" s="32"/>
      <c r="P102" s="32"/>
      <c r="Q102" s="32"/>
      <c r="R102" s="32"/>
      <c r="S102" s="32"/>
      <c r="T102" s="32"/>
      <c r="U102" s="32"/>
      <c r="V102" s="32"/>
      <c r="W102" s="32"/>
      <c r="X102" s="32"/>
      <c r="Y102" s="32"/>
      <c r="Z102" s="32"/>
      <c r="AA102" s="32"/>
      <c r="AB102" s="32"/>
    </row>
    <row r="103" spans="2:28" ht="63.75" x14ac:dyDescent="0.2">
      <c r="B103" s="189"/>
      <c r="C103" s="190" t="s">
        <v>1159</v>
      </c>
      <c r="D103" s="189"/>
      <c r="E103" s="189"/>
      <c r="F103" s="189"/>
      <c r="G103" s="195">
        <v>296141</v>
      </c>
      <c r="H103" s="80" t="s">
        <v>1224</v>
      </c>
      <c r="I103" s="189"/>
      <c r="J103" s="190"/>
      <c r="K103" s="189"/>
      <c r="L103" s="189"/>
      <c r="M103" s="183">
        <f>+M104+M105</f>
        <v>125478800</v>
      </c>
      <c r="N103" s="37"/>
      <c r="O103" s="32"/>
      <c r="P103" s="32"/>
      <c r="Q103" s="32"/>
      <c r="R103" s="32"/>
      <c r="S103" s="32"/>
      <c r="T103" s="32"/>
      <c r="U103" s="32"/>
      <c r="V103" s="32"/>
      <c r="W103" s="32"/>
      <c r="X103" s="32"/>
      <c r="Y103" s="32"/>
      <c r="Z103" s="32"/>
      <c r="AA103" s="32"/>
      <c r="AB103" s="32"/>
    </row>
    <row r="104" spans="2:28" x14ac:dyDescent="0.2">
      <c r="B104" s="189"/>
      <c r="C104" s="190"/>
      <c r="D104" s="189"/>
      <c r="E104" s="189"/>
      <c r="F104" s="189"/>
      <c r="G104" s="195"/>
      <c r="H104" s="80" t="s">
        <v>835</v>
      </c>
      <c r="I104" s="189"/>
      <c r="J104" s="190"/>
      <c r="K104" s="189"/>
      <c r="L104" s="189"/>
      <c r="M104" s="183">
        <v>80900000</v>
      </c>
      <c r="N104" s="37"/>
      <c r="O104" s="32"/>
      <c r="P104" s="32"/>
      <c r="Q104" s="32"/>
      <c r="R104" s="32"/>
      <c r="S104" s="32"/>
      <c r="T104" s="32"/>
      <c r="U104" s="32"/>
      <c r="V104" s="32"/>
      <c r="W104" s="32"/>
      <c r="X104" s="32"/>
      <c r="Y104" s="32"/>
      <c r="Z104" s="32"/>
      <c r="AA104" s="32"/>
      <c r="AB104" s="32"/>
    </row>
    <row r="105" spans="2:28" x14ac:dyDescent="0.2">
      <c r="B105" s="189"/>
      <c r="C105" s="190"/>
      <c r="D105" s="189"/>
      <c r="E105" s="189"/>
      <c r="F105" s="189"/>
      <c r="G105" s="195"/>
      <c r="H105" s="80" t="s">
        <v>931</v>
      </c>
      <c r="I105" s="189"/>
      <c r="J105" s="190"/>
      <c r="K105" s="189"/>
      <c r="L105" s="189"/>
      <c r="M105" s="183">
        <v>44578800</v>
      </c>
      <c r="N105" s="37"/>
      <c r="O105" s="32"/>
      <c r="P105" s="32"/>
      <c r="Q105" s="32"/>
      <c r="R105" s="32"/>
      <c r="S105" s="32"/>
      <c r="T105" s="32"/>
      <c r="U105" s="32"/>
      <c r="V105" s="32"/>
      <c r="W105" s="32"/>
      <c r="X105" s="32"/>
      <c r="Y105" s="32"/>
      <c r="Z105" s="32"/>
      <c r="AA105" s="32"/>
      <c r="AB105" s="32"/>
    </row>
    <row r="106" spans="2:28" ht="51" x14ac:dyDescent="0.2">
      <c r="B106" s="189"/>
      <c r="C106" s="190" t="s">
        <v>10</v>
      </c>
      <c r="D106" s="189"/>
      <c r="E106" s="189"/>
      <c r="F106" s="189"/>
      <c r="G106" s="195">
        <v>296141</v>
      </c>
      <c r="H106" s="80" t="s">
        <v>1483</v>
      </c>
      <c r="I106" s="189"/>
      <c r="J106" s="190"/>
      <c r="K106" s="189"/>
      <c r="L106" s="189"/>
      <c r="M106" s="183">
        <f>+M107</f>
        <v>100000000</v>
      </c>
      <c r="N106" s="37"/>
      <c r="O106" s="32"/>
      <c r="P106" s="32"/>
      <c r="Q106" s="32"/>
      <c r="R106" s="32"/>
      <c r="S106" s="32"/>
      <c r="T106" s="32"/>
      <c r="U106" s="32"/>
      <c r="V106" s="32"/>
      <c r="W106" s="32"/>
      <c r="X106" s="32"/>
      <c r="Y106" s="32"/>
      <c r="Z106" s="32"/>
      <c r="AA106" s="32"/>
      <c r="AB106" s="32"/>
    </row>
    <row r="107" spans="2:28" x14ac:dyDescent="0.2">
      <c r="B107" s="189"/>
      <c r="C107" s="190"/>
      <c r="D107" s="189"/>
      <c r="E107" s="189"/>
      <c r="F107" s="189"/>
      <c r="G107" s="195"/>
      <c r="H107" s="80" t="s">
        <v>835</v>
      </c>
      <c r="I107" s="189"/>
      <c r="J107" s="190"/>
      <c r="K107" s="189"/>
      <c r="L107" s="189"/>
      <c r="M107" s="183">
        <f>30000000+42150000+80000000+46950000-99100000</f>
        <v>100000000</v>
      </c>
      <c r="N107" s="37"/>
      <c r="O107" s="32"/>
      <c r="P107" s="32"/>
      <c r="Q107" s="32"/>
      <c r="R107" s="32"/>
      <c r="S107" s="32"/>
      <c r="T107" s="32"/>
      <c r="U107" s="32"/>
      <c r="V107" s="32"/>
      <c r="W107" s="32"/>
      <c r="X107" s="32"/>
      <c r="Y107" s="32"/>
      <c r="Z107" s="32"/>
      <c r="AA107" s="32"/>
      <c r="AB107" s="32"/>
    </row>
    <row r="108" spans="2:28" x14ac:dyDescent="0.2">
      <c r="B108" s="189"/>
      <c r="C108" s="190"/>
      <c r="D108" s="189"/>
      <c r="E108" s="189"/>
      <c r="F108" s="189"/>
      <c r="G108" s="195"/>
      <c r="H108" s="80"/>
      <c r="I108" s="189"/>
      <c r="J108" s="190"/>
      <c r="K108" s="189"/>
      <c r="L108" s="189"/>
      <c r="M108" s="183"/>
      <c r="N108" s="37"/>
      <c r="O108" s="32"/>
      <c r="P108" s="32"/>
      <c r="Q108" s="32"/>
      <c r="R108" s="32"/>
      <c r="S108" s="32"/>
      <c r="T108" s="32"/>
      <c r="U108" s="32"/>
      <c r="V108" s="32"/>
      <c r="W108" s="32"/>
      <c r="X108" s="32"/>
      <c r="Y108" s="32"/>
      <c r="Z108" s="32"/>
      <c r="AA108" s="32"/>
      <c r="AB108" s="32"/>
    </row>
    <row r="109" spans="2:28" x14ac:dyDescent="0.2">
      <c r="B109" s="189" t="s">
        <v>472</v>
      </c>
      <c r="C109" s="190"/>
      <c r="D109" s="189"/>
      <c r="E109" s="189"/>
      <c r="F109" s="189"/>
      <c r="G109" s="195"/>
      <c r="H109" s="173" t="s">
        <v>1012</v>
      </c>
      <c r="I109" s="189"/>
      <c r="J109" s="190"/>
      <c r="K109" s="189"/>
      <c r="L109" s="189"/>
      <c r="M109" s="91">
        <f>+M112+M125+M133</f>
        <v>3838119250</v>
      </c>
      <c r="N109" s="37"/>
      <c r="O109" s="32"/>
      <c r="P109" s="32"/>
      <c r="Q109" s="32"/>
      <c r="R109" s="32"/>
      <c r="S109" s="32"/>
      <c r="T109" s="32"/>
      <c r="U109" s="32"/>
      <c r="V109" s="32"/>
      <c r="W109" s="32"/>
      <c r="X109" s="32"/>
      <c r="Y109" s="32"/>
      <c r="Z109" s="32"/>
      <c r="AA109" s="32"/>
      <c r="AB109" s="32"/>
    </row>
    <row r="110" spans="2:28" ht="25.5" x14ac:dyDescent="0.2">
      <c r="B110" s="189"/>
      <c r="C110" s="190"/>
      <c r="D110" s="189"/>
      <c r="E110" s="196">
        <v>202</v>
      </c>
      <c r="F110" s="189" t="s">
        <v>268</v>
      </c>
      <c r="G110" s="195"/>
      <c r="H110" s="80" t="s">
        <v>456</v>
      </c>
      <c r="I110" s="196">
        <v>30000</v>
      </c>
      <c r="J110" s="190" t="s">
        <v>524</v>
      </c>
      <c r="K110" s="196"/>
      <c r="L110" s="189"/>
      <c r="M110" s="194"/>
      <c r="N110" s="37"/>
      <c r="O110" s="32"/>
      <c r="P110" s="32"/>
      <c r="Q110" s="32"/>
      <c r="R110" s="32"/>
      <c r="S110" s="32"/>
      <c r="T110" s="32"/>
      <c r="U110" s="32"/>
      <c r="V110" s="32"/>
      <c r="W110" s="32"/>
      <c r="X110" s="32"/>
      <c r="Y110" s="32"/>
      <c r="Z110" s="32"/>
      <c r="AA110" s="32"/>
      <c r="AB110" s="32"/>
    </row>
    <row r="111" spans="2:28" ht="51" x14ac:dyDescent="0.2">
      <c r="B111" s="189"/>
      <c r="C111" s="190"/>
      <c r="D111" s="189"/>
      <c r="E111" s="196">
        <v>203</v>
      </c>
      <c r="F111" s="189" t="s">
        <v>268</v>
      </c>
      <c r="G111" s="195"/>
      <c r="H111" s="80" t="s">
        <v>1232</v>
      </c>
      <c r="I111" s="196">
        <v>80</v>
      </c>
      <c r="J111" s="190" t="s">
        <v>767</v>
      </c>
      <c r="K111" s="196">
        <v>30</v>
      </c>
      <c r="L111" s="189" t="s">
        <v>1209</v>
      </c>
      <c r="M111" s="194"/>
      <c r="N111" s="37"/>
      <c r="O111" s="32"/>
      <c r="P111" s="32"/>
      <c r="Q111" s="32"/>
      <c r="R111" s="32"/>
      <c r="S111" s="32"/>
      <c r="T111" s="32"/>
      <c r="U111" s="32"/>
      <c r="V111" s="32"/>
      <c r="W111" s="32"/>
      <c r="X111" s="32"/>
      <c r="Y111" s="32"/>
      <c r="Z111" s="32"/>
      <c r="AA111" s="32"/>
      <c r="AB111" s="32"/>
    </row>
    <row r="112" spans="2:28" x14ac:dyDescent="0.2">
      <c r="B112" s="189" t="s">
        <v>497</v>
      </c>
      <c r="C112" s="190"/>
      <c r="D112" s="189"/>
      <c r="E112" s="189"/>
      <c r="F112" s="189"/>
      <c r="G112" s="195"/>
      <c r="H112" s="173" t="s">
        <v>622</v>
      </c>
      <c r="I112" s="189"/>
      <c r="J112" s="190"/>
      <c r="K112" s="189"/>
      <c r="L112" s="189"/>
      <c r="M112" s="91">
        <f>+M120+M122</f>
        <v>1207889801</v>
      </c>
      <c r="N112" s="37"/>
      <c r="O112" s="32"/>
      <c r="P112" s="32"/>
      <c r="Q112" s="32"/>
      <c r="R112" s="32"/>
      <c r="S112" s="32"/>
      <c r="T112" s="32"/>
      <c r="U112" s="32"/>
      <c r="V112" s="32"/>
      <c r="W112" s="32"/>
      <c r="X112" s="32"/>
      <c r="Y112" s="32"/>
      <c r="Z112" s="32"/>
      <c r="AA112" s="32"/>
      <c r="AB112" s="32"/>
    </row>
    <row r="113" spans="2:28" ht="38.25" x14ac:dyDescent="0.2">
      <c r="B113" s="189"/>
      <c r="C113" s="190"/>
      <c r="D113" s="189" t="s">
        <v>478</v>
      </c>
      <c r="E113" s="196">
        <v>218</v>
      </c>
      <c r="F113" s="189" t="s">
        <v>1080</v>
      </c>
      <c r="G113" s="195"/>
      <c r="H113" s="80" t="s">
        <v>352</v>
      </c>
      <c r="I113" s="196">
        <v>1</v>
      </c>
      <c r="J113" s="190" t="s">
        <v>173</v>
      </c>
      <c r="K113" s="196" t="s">
        <v>1484</v>
      </c>
      <c r="L113" s="189" t="s">
        <v>1182</v>
      </c>
      <c r="M113" s="91"/>
      <c r="N113" s="37"/>
      <c r="O113" s="32"/>
      <c r="P113" s="32"/>
      <c r="Q113" s="32"/>
      <c r="R113" s="32"/>
      <c r="S113" s="32"/>
      <c r="T113" s="32"/>
      <c r="U113" s="32"/>
      <c r="V113" s="32"/>
      <c r="W113" s="32"/>
      <c r="X113" s="32"/>
      <c r="Y113" s="32"/>
      <c r="Z113" s="32"/>
      <c r="AA113" s="32"/>
      <c r="AB113" s="32"/>
    </row>
    <row r="114" spans="2:28" ht="38.25" x14ac:dyDescent="0.2">
      <c r="B114" s="189"/>
      <c r="C114" s="190"/>
      <c r="D114" s="189"/>
      <c r="E114" s="196">
        <v>219</v>
      </c>
      <c r="F114" s="189" t="s">
        <v>1080</v>
      </c>
      <c r="G114" s="195"/>
      <c r="H114" s="80" t="s">
        <v>1142</v>
      </c>
      <c r="I114" s="196">
        <v>10</v>
      </c>
      <c r="J114" s="190" t="s">
        <v>440</v>
      </c>
      <c r="K114" s="196" t="s">
        <v>1485</v>
      </c>
      <c r="L114" s="189" t="s">
        <v>1182</v>
      </c>
      <c r="M114" s="91"/>
      <c r="N114" s="37"/>
      <c r="O114" s="32"/>
      <c r="P114" s="32"/>
      <c r="Q114" s="32"/>
      <c r="R114" s="32"/>
      <c r="S114" s="32"/>
      <c r="T114" s="32"/>
      <c r="U114" s="32"/>
      <c r="V114" s="32"/>
      <c r="W114" s="32"/>
      <c r="X114" s="32"/>
      <c r="Y114" s="32"/>
      <c r="Z114" s="32"/>
      <c r="AA114" s="32"/>
      <c r="AB114" s="32"/>
    </row>
    <row r="115" spans="2:28" ht="25.5" x14ac:dyDescent="0.2">
      <c r="B115" s="189"/>
      <c r="C115" s="190"/>
      <c r="D115" s="189" t="s">
        <v>957</v>
      </c>
      <c r="E115" s="196">
        <v>220</v>
      </c>
      <c r="F115" s="189" t="s">
        <v>1080</v>
      </c>
      <c r="G115" s="195"/>
      <c r="H115" s="80" t="s">
        <v>145</v>
      </c>
      <c r="I115" s="196">
        <v>2</v>
      </c>
      <c r="J115" s="190" t="s">
        <v>440</v>
      </c>
      <c r="K115" s="196">
        <v>11</v>
      </c>
      <c r="L115" s="189" t="s">
        <v>1186</v>
      </c>
      <c r="M115" s="91"/>
      <c r="N115" s="37"/>
      <c r="O115" s="32"/>
      <c r="P115" s="32"/>
      <c r="Q115" s="32"/>
      <c r="R115" s="32"/>
      <c r="S115" s="32"/>
      <c r="T115" s="32"/>
      <c r="U115" s="32"/>
      <c r="V115" s="32"/>
      <c r="W115" s="32"/>
      <c r="X115" s="32"/>
      <c r="Y115" s="32"/>
      <c r="Z115" s="32"/>
      <c r="AA115" s="32"/>
      <c r="AB115" s="32"/>
    </row>
    <row r="116" spans="2:28" ht="25.5" x14ac:dyDescent="0.2">
      <c r="B116" s="189"/>
      <c r="C116" s="190"/>
      <c r="D116" s="189"/>
      <c r="E116" s="196">
        <v>221</v>
      </c>
      <c r="F116" s="189" t="s">
        <v>1080</v>
      </c>
      <c r="G116" s="195"/>
      <c r="H116" s="80" t="s">
        <v>1140</v>
      </c>
      <c r="I116" s="196">
        <v>2000</v>
      </c>
      <c r="J116" s="190" t="s">
        <v>1141</v>
      </c>
      <c r="K116" s="196">
        <v>2585</v>
      </c>
      <c r="L116" s="189" t="s">
        <v>1233</v>
      </c>
      <c r="M116" s="91"/>
      <c r="N116" s="37"/>
      <c r="O116" s="32"/>
      <c r="P116" s="32"/>
      <c r="Q116" s="32"/>
      <c r="R116" s="32"/>
      <c r="S116" s="32"/>
      <c r="T116" s="32"/>
      <c r="U116" s="32"/>
      <c r="V116" s="32"/>
      <c r="W116" s="32"/>
      <c r="X116" s="32"/>
      <c r="Y116" s="32"/>
      <c r="Z116" s="32"/>
      <c r="AA116" s="32"/>
      <c r="AB116" s="32"/>
    </row>
    <row r="117" spans="2:28" ht="51" x14ac:dyDescent="0.2">
      <c r="B117" s="189"/>
      <c r="C117" s="190"/>
      <c r="D117" s="189"/>
      <c r="E117" s="196">
        <v>222</v>
      </c>
      <c r="F117" s="189" t="s">
        <v>1080</v>
      </c>
      <c r="G117" s="195"/>
      <c r="H117" s="80" t="s">
        <v>1139</v>
      </c>
      <c r="I117" s="196">
        <v>40</v>
      </c>
      <c r="J117" s="190" t="s">
        <v>440</v>
      </c>
      <c r="K117" s="196">
        <v>15</v>
      </c>
      <c r="L117" s="189" t="s">
        <v>1195</v>
      </c>
      <c r="M117" s="91"/>
      <c r="N117" s="37"/>
      <c r="O117" s="32"/>
      <c r="P117" s="32"/>
      <c r="Q117" s="32"/>
      <c r="R117" s="32"/>
      <c r="S117" s="32"/>
      <c r="T117" s="32"/>
      <c r="U117" s="32"/>
      <c r="V117" s="32"/>
      <c r="W117" s="32"/>
      <c r="X117" s="32"/>
      <c r="Y117" s="32"/>
      <c r="Z117" s="32"/>
      <c r="AA117" s="32"/>
      <c r="AB117" s="32"/>
    </row>
    <row r="118" spans="2:28" ht="51" x14ac:dyDescent="0.2">
      <c r="B118" s="189"/>
      <c r="C118" s="190"/>
      <c r="D118" s="189" t="s">
        <v>691</v>
      </c>
      <c r="E118" s="196">
        <v>223</v>
      </c>
      <c r="F118" s="189" t="s">
        <v>1080</v>
      </c>
      <c r="G118" s="195"/>
      <c r="H118" s="80" t="s">
        <v>229</v>
      </c>
      <c r="I118" s="196">
        <v>100</v>
      </c>
      <c r="J118" s="190" t="s">
        <v>804</v>
      </c>
      <c r="K118" s="196">
        <v>100</v>
      </c>
      <c r="L118" s="189" t="s">
        <v>1165</v>
      </c>
      <c r="M118" s="194"/>
      <c r="N118" s="37"/>
      <c r="O118" s="32"/>
      <c r="P118" s="32"/>
      <c r="Q118" s="32"/>
      <c r="R118" s="32"/>
      <c r="S118" s="32"/>
      <c r="T118" s="32"/>
      <c r="U118" s="32"/>
      <c r="V118" s="32"/>
      <c r="W118" s="32"/>
      <c r="X118" s="32"/>
      <c r="Y118" s="32"/>
      <c r="Z118" s="32"/>
      <c r="AA118" s="32"/>
      <c r="AB118" s="32"/>
    </row>
    <row r="119" spans="2:28" x14ac:dyDescent="0.2">
      <c r="B119" s="189"/>
      <c r="C119" s="190"/>
      <c r="D119" s="189"/>
      <c r="E119" s="196"/>
      <c r="F119" s="189"/>
      <c r="G119" s="195"/>
      <c r="H119" s="80"/>
      <c r="I119" s="196"/>
      <c r="J119" s="190"/>
      <c r="K119" s="196"/>
      <c r="L119" s="189"/>
      <c r="M119" s="194"/>
      <c r="N119" s="37"/>
      <c r="O119" s="32"/>
      <c r="P119" s="32"/>
      <c r="Q119" s="32"/>
      <c r="R119" s="32"/>
      <c r="S119" s="32"/>
      <c r="T119" s="32"/>
      <c r="U119" s="32"/>
      <c r="V119" s="32"/>
      <c r="W119" s="32"/>
      <c r="X119" s="32"/>
      <c r="Y119" s="32"/>
      <c r="Z119" s="32"/>
      <c r="AA119" s="32"/>
      <c r="AB119" s="32"/>
    </row>
    <row r="120" spans="2:28" ht="51" x14ac:dyDescent="0.2">
      <c r="B120" s="189"/>
      <c r="C120" s="190" t="s">
        <v>1159</v>
      </c>
      <c r="D120" s="189"/>
      <c r="E120" s="189"/>
      <c r="F120" s="189"/>
      <c r="G120" s="195">
        <v>296140</v>
      </c>
      <c r="H120" s="80" t="s">
        <v>1234</v>
      </c>
      <c r="I120" s="189"/>
      <c r="J120" s="190"/>
      <c r="K120" s="189"/>
      <c r="L120" s="189"/>
      <c r="M120" s="183">
        <f>+M121</f>
        <v>1057889801</v>
      </c>
      <c r="N120" s="37"/>
      <c r="O120" s="32"/>
      <c r="P120" s="32"/>
      <c r="Q120" s="32"/>
      <c r="R120" s="32"/>
      <c r="S120" s="32"/>
      <c r="T120" s="32"/>
      <c r="U120" s="32"/>
      <c r="V120" s="32"/>
      <c r="W120" s="32"/>
      <c r="X120" s="32"/>
      <c r="Y120" s="32"/>
      <c r="Z120" s="32"/>
      <c r="AA120" s="32"/>
      <c r="AB120" s="32"/>
    </row>
    <row r="121" spans="2:28" x14ac:dyDescent="0.2">
      <c r="B121" s="189"/>
      <c r="C121" s="190"/>
      <c r="D121" s="189"/>
      <c r="E121" s="189"/>
      <c r="F121" s="189"/>
      <c r="G121" s="195"/>
      <c r="H121" s="80" t="s">
        <v>931</v>
      </c>
      <c r="I121" s="189"/>
      <c r="J121" s="190"/>
      <c r="K121" s="189"/>
      <c r="L121" s="189"/>
      <c r="M121" s="183">
        <v>1057889801</v>
      </c>
      <c r="N121" s="37"/>
      <c r="O121" s="32"/>
      <c r="P121" s="32"/>
      <c r="Q121" s="32"/>
      <c r="R121" s="32"/>
      <c r="S121" s="32"/>
      <c r="T121" s="32"/>
      <c r="U121" s="32"/>
      <c r="V121" s="32"/>
      <c r="W121" s="32"/>
      <c r="X121" s="32"/>
      <c r="Y121" s="32"/>
      <c r="Z121" s="32"/>
      <c r="AA121" s="32"/>
      <c r="AB121" s="32"/>
    </row>
    <row r="122" spans="2:28" ht="38.25" x14ac:dyDescent="0.2">
      <c r="B122" s="189"/>
      <c r="C122" s="190" t="s">
        <v>10</v>
      </c>
      <c r="D122" s="189"/>
      <c r="E122" s="189"/>
      <c r="F122" s="189"/>
      <c r="G122" s="195">
        <v>296140</v>
      </c>
      <c r="H122" s="80" t="s">
        <v>1486</v>
      </c>
      <c r="I122" s="189"/>
      <c r="J122" s="190"/>
      <c r="K122" s="189"/>
      <c r="L122" s="189"/>
      <c r="M122" s="183">
        <f>M123</f>
        <v>150000000</v>
      </c>
      <c r="N122" s="37"/>
      <c r="O122" s="32"/>
      <c r="P122" s="32"/>
      <c r="Q122" s="32"/>
      <c r="R122" s="32"/>
      <c r="S122" s="32"/>
      <c r="T122" s="32"/>
      <c r="U122" s="32"/>
      <c r="V122" s="32"/>
      <c r="W122" s="32"/>
      <c r="X122" s="32"/>
      <c r="Y122" s="32"/>
      <c r="Z122" s="32"/>
      <c r="AA122" s="32"/>
      <c r="AB122" s="32"/>
    </row>
    <row r="123" spans="2:28" x14ac:dyDescent="0.2">
      <c r="B123" s="189"/>
      <c r="C123" s="190"/>
      <c r="D123" s="189"/>
      <c r="E123" s="189"/>
      <c r="F123" s="189"/>
      <c r="G123" s="195"/>
      <c r="H123" s="80" t="s">
        <v>931</v>
      </c>
      <c r="I123" s="189"/>
      <c r="J123" s="190"/>
      <c r="K123" s="189"/>
      <c r="L123" s="189"/>
      <c r="M123" s="183">
        <f>50000000+100000000</f>
        <v>150000000</v>
      </c>
      <c r="N123" s="37"/>
      <c r="O123" s="32"/>
      <c r="P123" s="32"/>
      <c r="Q123" s="32"/>
      <c r="R123" s="32"/>
      <c r="S123" s="32"/>
      <c r="T123" s="32"/>
      <c r="U123" s="32"/>
      <c r="V123" s="32"/>
      <c r="W123" s="32"/>
      <c r="X123" s="32"/>
      <c r="Y123" s="32"/>
      <c r="Z123" s="32"/>
      <c r="AA123" s="32"/>
      <c r="AB123" s="32"/>
    </row>
    <row r="124" spans="2:28" x14ac:dyDescent="0.2">
      <c r="B124" s="189"/>
      <c r="C124" s="190"/>
      <c r="D124" s="189"/>
      <c r="E124" s="189"/>
      <c r="F124" s="189"/>
      <c r="G124" s="195"/>
      <c r="H124" s="80"/>
      <c r="I124" s="189"/>
      <c r="J124" s="190"/>
      <c r="K124" s="189"/>
      <c r="L124" s="189"/>
      <c r="M124" s="183"/>
      <c r="N124" s="37"/>
      <c r="O124" s="32"/>
      <c r="P124" s="32"/>
      <c r="Q124" s="32"/>
      <c r="R124" s="32"/>
      <c r="S124" s="32"/>
      <c r="T124" s="32"/>
      <c r="U124" s="32"/>
      <c r="V124" s="32"/>
      <c r="W124" s="32"/>
      <c r="X124" s="32"/>
      <c r="Y124" s="32"/>
      <c r="Z124" s="32"/>
      <c r="AA124" s="32"/>
      <c r="AB124" s="32"/>
    </row>
    <row r="125" spans="2:28" x14ac:dyDescent="0.2">
      <c r="B125" s="189" t="s">
        <v>285</v>
      </c>
      <c r="C125" s="190"/>
      <c r="D125" s="189"/>
      <c r="E125" s="189"/>
      <c r="F125" s="189"/>
      <c r="G125" s="195"/>
      <c r="H125" s="173" t="s">
        <v>418</v>
      </c>
      <c r="I125" s="189"/>
      <c r="J125" s="190"/>
      <c r="K125" s="189"/>
      <c r="L125" s="189"/>
      <c r="M125" s="91">
        <f>+M127+M130</f>
        <v>761454972</v>
      </c>
      <c r="N125" s="37"/>
      <c r="O125" s="32"/>
      <c r="P125" s="32"/>
      <c r="Q125" s="32"/>
      <c r="R125" s="32"/>
      <c r="S125" s="32"/>
      <c r="T125" s="32"/>
      <c r="U125" s="32"/>
      <c r="V125" s="32"/>
      <c r="W125" s="32"/>
      <c r="X125" s="32"/>
      <c r="Y125" s="32"/>
      <c r="Z125" s="32"/>
      <c r="AA125" s="32"/>
      <c r="AB125" s="32"/>
    </row>
    <row r="126" spans="2:28" ht="51" x14ac:dyDescent="0.2">
      <c r="B126" s="189"/>
      <c r="C126" s="190"/>
      <c r="D126" s="189" t="s">
        <v>1089</v>
      </c>
      <c r="E126" s="196">
        <v>233</v>
      </c>
      <c r="F126" s="189" t="s">
        <v>1080</v>
      </c>
      <c r="G126" s="195"/>
      <c r="H126" s="80" t="s">
        <v>469</v>
      </c>
      <c r="I126" s="196">
        <v>21</v>
      </c>
      <c r="J126" s="190" t="s">
        <v>440</v>
      </c>
      <c r="K126" s="196">
        <v>4</v>
      </c>
      <c r="L126" s="189" t="s">
        <v>1173</v>
      </c>
      <c r="M126" s="194"/>
      <c r="N126" s="37"/>
      <c r="O126" s="32"/>
      <c r="P126" s="32"/>
      <c r="Q126" s="32"/>
      <c r="R126" s="32"/>
      <c r="S126" s="32"/>
      <c r="T126" s="32"/>
      <c r="U126" s="32"/>
      <c r="V126" s="32"/>
      <c r="W126" s="32"/>
      <c r="X126" s="32"/>
      <c r="Y126" s="32"/>
      <c r="Z126" s="32"/>
      <c r="AA126" s="32"/>
      <c r="AB126" s="32"/>
    </row>
    <row r="127" spans="2:28" ht="63.75" x14ac:dyDescent="0.2">
      <c r="B127" s="189"/>
      <c r="C127" s="190" t="s">
        <v>1159</v>
      </c>
      <c r="D127" s="189"/>
      <c r="E127" s="189"/>
      <c r="F127" s="189"/>
      <c r="G127" s="195">
        <v>296141</v>
      </c>
      <c r="H127" s="80" t="s">
        <v>1224</v>
      </c>
      <c r="I127" s="189"/>
      <c r="J127" s="190"/>
      <c r="K127" s="189"/>
      <c r="L127" s="189"/>
      <c r="M127" s="183">
        <f>+M128+M129</f>
        <v>228754972</v>
      </c>
      <c r="N127" s="37"/>
      <c r="O127" s="32"/>
      <c r="P127" s="32"/>
      <c r="Q127" s="32"/>
      <c r="R127" s="32"/>
      <c r="S127" s="32"/>
      <c r="T127" s="32"/>
      <c r="U127" s="32"/>
      <c r="V127" s="32"/>
      <c r="W127" s="32"/>
      <c r="X127" s="32"/>
      <c r="Y127" s="32"/>
      <c r="Z127" s="32"/>
      <c r="AA127" s="32"/>
      <c r="AB127" s="32"/>
    </row>
    <row r="128" spans="2:28" x14ac:dyDescent="0.2">
      <c r="B128" s="189"/>
      <c r="C128" s="190"/>
      <c r="D128" s="189"/>
      <c r="E128" s="189"/>
      <c r="F128" s="189"/>
      <c r="G128" s="195"/>
      <c r="H128" s="80" t="s">
        <v>835</v>
      </c>
      <c r="I128" s="189"/>
      <c r="J128" s="190"/>
      <c r="K128" s="189"/>
      <c r="L128" s="189"/>
      <c r="M128" s="183">
        <v>78300000</v>
      </c>
      <c r="N128" s="37"/>
      <c r="O128" s="32"/>
      <c r="P128" s="32"/>
      <c r="Q128" s="32"/>
      <c r="R128" s="32"/>
      <c r="S128" s="32"/>
      <c r="T128" s="32"/>
      <c r="U128" s="32"/>
      <c r="V128" s="32"/>
      <c r="W128" s="32"/>
      <c r="X128" s="32"/>
      <c r="Y128" s="32"/>
      <c r="Z128" s="32"/>
      <c r="AA128" s="32"/>
      <c r="AB128" s="32"/>
    </row>
    <row r="129" spans="2:28" x14ac:dyDescent="0.2">
      <c r="B129" s="189"/>
      <c r="C129" s="190"/>
      <c r="D129" s="189"/>
      <c r="E129" s="189"/>
      <c r="F129" s="189"/>
      <c r="G129" s="195"/>
      <c r="H129" s="80" t="s">
        <v>931</v>
      </c>
      <c r="I129" s="189"/>
      <c r="J129" s="190"/>
      <c r="K129" s="189"/>
      <c r="L129" s="189"/>
      <c r="M129" s="183">
        <v>150454972</v>
      </c>
      <c r="N129" s="37"/>
      <c r="O129" s="32"/>
      <c r="P129" s="32"/>
      <c r="Q129" s="32"/>
      <c r="R129" s="32"/>
      <c r="S129" s="32"/>
      <c r="T129" s="32"/>
      <c r="U129" s="32"/>
      <c r="V129" s="32"/>
      <c r="W129" s="32"/>
      <c r="X129" s="32"/>
      <c r="Y129" s="32"/>
      <c r="Z129" s="32"/>
      <c r="AA129" s="32"/>
      <c r="AB129" s="32"/>
    </row>
    <row r="130" spans="2:28" ht="51" x14ac:dyDescent="0.2">
      <c r="B130" s="189"/>
      <c r="C130" s="190" t="s">
        <v>10</v>
      </c>
      <c r="D130" s="189"/>
      <c r="E130" s="189"/>
      <c r="F130" s="189"/>
      <c r="G130" s="195">
        <v>296141</v>
      </c>
      <c r="H130" s="80" t="s">
        <v>1483</v>
      </c>
      <c r="I130" s="189"/>
      <c r="J130" s="190"/>
      <c r="K130" s="189"/>
      <c r="L130" s="189"/>
      <c r="M130" s="183">
        <f>+M131+M132</f>
        <v>532700000</v>
      </c>
      <c r="N130" s="37"/>
      <c r="O130" s="32"/>
      <c r="P130" s="32"/>
      <c r="Q130" s="32"/>
      <c r="R130" s="32"/>
      <c r="S130" s="32"/>
      <c r="T130" s="32"/>
      <c r="U130" s="32"/>
      <c r="V130" s="32"/>
      <c r="W130" s="32"/>
      <c r="X130" s="32"/>
      <c r="Y130" s="32"/>
      <c r="Z130" s="32"/>
      <c r="AA130" s="32"/>
      <c r="AB130" s="32"/>
    </row>
    <row r="131" spans="2:28" x14ac:dyDescent="0.2">
      <c r="B131" s="189"/>
      <c r="C131" s="190"/>
      <c r="D131" s="189"/>
      <c r="E131" s="189"/>
      <c r="F131" s="189"/>
      <c r="G131" s="195"/>
      <c r="H131" s="80" t="s">
        <v>835</v>
      </c>
      <c r="I131" s="189"/>
      <c r="J131" s="190"/>
      <c r="K131" s="189"/>
      <c r="L131" s="189"/>
      <c r="M131" s="183">
        <f>682700000-150000000</f>
        <v>532700000</v>
      </c>
      <c r="N131" s="37"/>
      <c r="O131" s="32"/>
      <c r="P131" s="32"/>
      <c r="Q131" s="32"/>
      <c r="R131" s="32"/>
      <c r="S131" s="32"/>
      <c r="T131" s="32"/>
      <c r="U131" s="32"/>
      <c r="V131" s="32"/>
      <c r="W131" s="32"/>
      <c r="X131" s="32"/>
      <c r="Y131" s="32"/>
      <c r="Z131" s="32"/>
      <c r="AA131" s="32"/>
      <c r="AB131" s="32"/>
    </row>
    <row r="132" spans="2:28" x14ac:dyDescent="0.2">
      <c r="B132" s="189"/>
      <c r="C132" s="190"/>
      <c r="D132" s="189"/>
      <c r="E132" s="189"/>
      <c r="F132" s="189"/>
      <c r="G132" s="195"/>
      <c r="H132" s="80" t="s">
        <v>1115</v>
      </c>
      <c r="I132" s="189"/>
      <c r="J132" s="190"/>
      <c r="K132" s="189"/>
      <c r="L132" s="189"/>
      <c r="M132" s="183"/>
      <c r="N132" s="37"/>
      <c r="O132" s="32"/>
      <c r="P132" s="32"/>
      <c r="Q132" s="32"/>
      <c r="R132" s="32"/>
      <c r="S132" s="32"/>
      <c r="T132" s="32"/>
      <c r="U132" s="32"/>
      <c r="V132" s="32"/>
      <c r="W132" s="32"/>
      <c r="X132" s="32"/>
      <c r="Y132" s="32"/>
      <c r="Z132" s="32"/>
      <c r="AA132" s="32"/>
      <c r="AB132" s="32"/>
    </row>
    <row r="133" spans="2:28" x14ac:dyDescent="0.2">
      <c r="B133" s="214" t="s">
        <v>885</v>
      </c>
      <c r="C133" s="190"/>
      <c r="D133" s="189"/>
      <c r="E133" s="189"/>
      <c r="F133" s="189"/>
      <c r="G133" s="195"/>
      <c r="H133" s="173" t="s">
        <v>263</v>
      </c>
      <c r="I133" s="189"/>
      <c r="J133" s="190"/>
      <c r="K133" s="189"/>
      <c r="L133" s="189"/>
      <c r="M133" s="91">
        <f>+M135+M137</f>
        <v>1868774477</v>
      </c>
      <c r="N133" s="37"/>
      <c r="O133" s="32"/>
      <c r="P133" s="32"/>
      <c r="Q133" s="32"/>
      <c r="R133" s="32"/>
      <c r="S133" s="32"/>
      <c r="T133" s="32"/>
      <c r="U133" s="32"/>
      <c r="V133" s="32"/>
      <c r="W133" s="32"/>
      <c r="X133" s="32"/>
      <c r="Y133" s="32"/>
      <c r="Z133" s="32"/>
      <c r="AA133" s="32"/>
      <c r="AB133" s="32"/>
    </row>
    <row r="134" spans="2:28" ht="38.25" x14ac:dyDescent="0.2">
      <c r="B134" s="189"/>
      <c r="C134" s="190"/>
      <c r="D134" s="189" t="s">
        <v>1144</v>
      </c>
      <c r="E134" s="189">
        <v>238</v>
      </c>
      <c r="F134" s="189" t="s">
        <v>1116</v>
      </c>
      <c r="G134" s="195"/>
      <c r="H134" s="80" t="s">
        <v>1143</v>
      </c>
      <c r="I134" s="189">
        <v>1</v>
      </c>
      <c r="J134" s="190" t="s">
        <v>286</v>
      </c>
      <c r="K134" s="189" t="s">
        <v>1330</v>
      </c>
      <c r="L134" s="189" t="s">
        <v>1330</v>
      </c>
      <c r="M134" s="183"/>
      <c r="N134" s="37"/>
      <c r="O134" s="32"/>
      <c r="P134" s="32"/>
      <c r="Q134" s="32"/>
      <c r="R134" s="32"/>
      <c r="S134" s="32"/>
      <c r="T134" s="32"/>
      <c r="U134" s="32"/>
      <c r="V134" s="32"/>
      <c r="W134" s="32"/>
      <c r="X134" s="32"/>
      <c r="Y134" s="32"/>
      <c r="Z134" s="32"/>
      <c r="AA134" s="32"/>
      <c r="AB134" s="32"/>
    </row>
    <row r="135" spans="2:28" ht="51" x14ac:dyDescent="0.2">
      <c r="B135" s="189"/>
      <c r="C135" s="190" t="s">
        <v>1159</v>
      </c>
      <c r="D135" s="189"/>
      <c r="E135" s="189"/>
      <c r="F135" s="189"/>
      <c r="G135" s="195">
        <v>296140</v>
      </c>
      <c r="H135" s="80" t="s">
        <v>1234</v>
      </c>
      <c r="I135" s="189"/>
      <c r="J135" s="190"/>
      <c r="K135" s="189"/>
      <c r="L135" s="189"/>
      <c r="M135" s="183">
        <f>+M136</f>
        <v>879806800</v>
      </c>
      <c r="N135" s="37"/>
      <c r="O135" s="32"/>
      <c r="P135" s="32"/>
      <c r="Q135" s="32"/>
      <c r="R135" s="32"/>
      <c r="S135" s="32"/>
      <c r="T135" s="32"/>
      <c r="U135" s="32"/>
      <c r="V135" s="32"/>
      <c r="W135" s="32"/>
      <c r="X135" s="32"/>
      <c r="Y135" s="32"/>
      <c r="Z135" s="32"/>
      <c r="AA135" s="32"/>
      <c r="AB135" s="32"/>
    </row>
    <row r="136" spans="2:28" x14ac:dyDescent="0.2">
      <c r="B136" s="189"/>
      <c r="C136" s="190"/>
      <c r="D136" s="189"/>
      <c r="E136" s="189"/>
      <c r="F136" s="189"/>
      <c r="G136" s="195"/>
      <c r="H136" s="80" t="s">
        <v>931</v>
      </c>
      <c r="I136" s="189"/>
      <c r="J136" s="190"/>
      <c r="K136" s="189"/>
      <c r="L136" s="189"/>
      <c r="M136" s="183">
        <v>879806800</v>
      </c>
      <c r="N136" s="37"/>
      <c r="O136" s="32"/>
      <c r="P136" s="32"/>
      <c r="Q136" s="32"/>
      <c r="R136" s="32"/>
      <c r="S136" s="32"/>
      <c r="T136" s="32"/>
      <c r="U136" s="32"/>
      <c r="V136" s="32"/>
      <c r="W136" s="32"/>
      <c r="X136" s="32"/>
      <c r="Y136" s="32"/>
      <c r="Z136" s="32"/>
      <c r="AA136" s="32"/>
      <c r="AB136" s="32"/>
    </row>
    <row r="137" spans="2:28" ht="38.25" x14ac:dyDescent="0.2">
      <c r="B137" s="189"/>
      <c r="C137" s="190" t="s">
        <v>10</v>
      </c>
      <c r="D137" s="189"/>
      <c r="E137" s="189"/>
      <c r="F137" s="189"/>
      <c r="G137" s="195">
        <v>296140</v>
      </c>
      <c r="H137" s="80" t="s">
        <v>1486</v>
      </c>
      <c r="I137" s="189"/>
      <c r="J137" s="190"/>
      <c r="K137" s="189"/>
      <c r="L137" s="189"/>
      <c r="M137" s="183">
        <f>+M138+M139</f>
        <v>988967677</v>
      </c>
      <c r="N137" s="37"/>
      <c r="O137" s="32"/>
      <c r="P137" s="32"/>
      <c r="Q137" s="32"/>
      <c r="R137" s="32"/>
      <c r="S137" s="32"/>
      <c r="T137" s="32"/>
      <c r="U137" s="32"/>
      <c r="V137" s="32"/>
      <c r="W137" s="32"/>
      <c r="X137" s="32"/>
      <c r="Y137" s="32"/>
      <c r="Z137" s="32"/>
      <c r="AA137" s="32"/>
      <c r="AB137" s="32"/>
    </row>
    <row r="138" spans="2:28" x14ac:dyDescent="0.2">
      <c r="B138" s="189"/>
      <c r="C138" s="190"/>
      <c r="D138" s="189"/>
      <c r="E138" s="189"/>
      <c r="F138" s="189"/>
      <c r="G138" s="195"/>
      <c r="H138" s="80" t="s">
        <v>931</v>
      </c>
      <c r="I138" s="189"/>
      <c r="J138" s="190"/>
      <c r="K138" s="189"/>
      <c r="L138" s="189"/>
      <c r="M138" s="183">
        <f>88967865-188</f>
        <v>88967677</v>
      </c>
      <c r="N138" s="37"/>
      <c r="O138" s="32"/>
      <c r="P138" s="32"/>
      <c r="Q138" s="32"/>
      <c r="R138" s="32"/>
      <c r="S138" s="32"/>
      <c r="T138" s="32"/>
      <c r="U138" s="32"/>
      <c r="V138" s="32"/>
      <c r="W138" s="32"/>
      <c r="X138" s="32"/>
      <c r="Y138" s="32"/>
      <c r="Z138" s="32"/>
      <c r="AA138" s="32"/>
      <c r="AB138" s="32"/>
    </row>
    <row r="139" spans="2:28" x14ac:dyDescent="0.2">
      <c r="B139" s="189"/>
      <c r="C139" s="190"/>
      <c r="D139" s="189"/>
      <c r="E139" s="189"/>
      <c r="F139" s="189"/>
      <c r="G139" s="195"/>
      <c r="H139" s="80" t="s">
        <v>835</v>
      </c>
      <c r="I139" s="189"/>
      <c r="J139" s="190"/>
      <c r="K139" s="189"/>
      <c r="L139" s="189"/>
      <c r="M139" s="183">
        <f>1400000000-800000000+300000000</f>
        <v>900000000</v>
      </c>
      <c r="N139" s="37"/>
      <c r="O139" s="32"/>
      <c r="P139" s="32"/>
      <c r="Q139" s="32"/>
      <c r="R139" s="32"/>
      <c r="S139" s="32"/>
      <c r="T139" s="32"/>
      <c r="U139" s="32"/>
      <c r="V139" s="32"/>
      <c r="W139" s="32"/>
      <c r="X139" s="32"/>
      <c r="Y139" s="32"/>
      <c r="Z139" s="32"/>
      <c r="AA139" s="32"/>
      <c r="AB139" s="32"/>
    </row>
    <row r="140" spans="2:28" x14ac:dyDescent="0.2">
      <c r="B140" s="189"/>
      <c r="C140" s="190"/>
      <c r="D140" s="189"/>
      <c r="E140" s="189"/>
      <c r="F140" s="189"/>
      <c r="G140" s="195"/>
      <c r="H140" s="80"/>
      <c r="I140" s="189"/>
      <c r="J140" s="190"/>
      <c r="K140" s="189"/>
      <c r="L140" s="189"/>
      <c r="M140" s="183"/>
      <c r="N140" s="37"/>
      <c r="O140" s="32"/>
      <c r="P140" s="32"/>
      <c r="Q140" s="32"/>
      <c r="R140" s="32"/>
      <c r="S140" s="32"/>
      <c r="T140" s="32"/>
      <c r="U140" s="32"/>
      <c r="V140" s="32"/>
      <c r="W140" s="32"/>
      <c r="X140" s="32"/>
      <c r="Y140" s="32"/>
      <c r="Z140" s="32"/>
      <c r="AA140" s="32"/>
      <c r="AB140" s="32"/>
    </row>
    <row r="141" spans="2:28" x14ac:dyDescent="0.2">
      <c r="B141" s="189"/>
      <c r="C141" s="190"/>
      <c r="D141" s="189"/>
      <c r="E141" s="189"/>
      <c r="F141" s="189"/>
      <c r="G141" s="195"/>
      <c r="H141" s="80"/>
      <c r="I141" s="189"/>
      <c r="J141" s="190"/>
      <c r="K141" s="189"/>
      <c r="L141" s="189"/>
      <c r="M141" s="183"/>
      <c r="N141" s="37"/>
      <c r="O141" s="32"/>
      <c r="P141" s="32"/>
      <c r="Q141" s="32"/>
      <c r="R141" s="32"/>
      <c r="S141" s="32"/>
      <c r="T141" s="32"/>
      <c r="U141" s="32"/>
      <c r="V141" s="32"/>
      <c r="W141" s="32"/>
      <c r="X141" s="32"/>
      <c r="Y141" s="32"/>
      <c r="Z141" s="32"/>
      <c r="AA141" s="32"/>
      <c r="AB141" s="32"/>
    </row>
    <row r="142" spans="2:28" ht="25.5" x14ac:dyDescent="0.2">
      <c r="B142" s="189" t="s">
        <v>841</v>
      </c>
      <c r="C142" s="190"/>
      <c r="D142" s="189"/>
      <c r="E142" s="189"/>
      <c r="F142" s="189"/>
      <c r="G142" s="195"/>
      <c r="H142" s="173" t="s">
        <v>1136</v>
      </c>
      <c r="I142" s="189"/>
      <c r="J142" s="190"/>
      <c r="K142" s="189"/>
      <c r="L142" s="189"/>
      <c r="M142" s="91">
        <f>+M143</f>
        <v>6395290400</v>
      </c>
      <c r="N142" s="37"/>
      <c r="O142" s="32"/>
      <c r="P142" s="32"/>
      <c r="Q142" s="32"/>
      <c r="R142" s="32"/>
      <c r="S142" s="32"/>
      <c r="T142" s="32"/>
      <c r="U142" s="32"/>
      <c r="V142" s="32"/>
      <c r="W142" s="32"/>
      <c r="X142" s="32"/>
      <c r="Y142" s="32"/>
      <c r="Z142" s="32"/>
      <c r="AA142" s="32"/>
      <c r="AB142" s="32"/>
    </row>
    <row r="143" spans="2:28" x14ac:dyDescent="0.2">
      <c r="B143" s="189" t="s">
        <v>497</v>
      </c>
      <c r="C143" s="190"/>
      <c r="D143" s="189"/>
      <c r="E143" s="189"/>
      <c r="F143" s="189"/>
      <c r="G143" s="195"/>
      <c r="H143" s="173" t="s">
        <v>355</v>
      </c>
      <c r="I143" s="189"/>
      <c r="J143" s="190"/>
      <c r="K143" s="189"/>
      <c r="L143" s="189"/>
      <c r="M143" s="91">
        <f>+M145</f>
        <v>6395290400</v>
      </c>
      <c r="N143" s="37"/>
      <c r="O143" s="32"/>
      <c r="P143" s="32"/>
      <c r="Q143" s="32"/>
      <c r="R143" s="32"/>
      <c r="S143" s="32"/>
      <c r="T143" s="32"/>
      <c r="U143" s="32"/>
      <c r="V143" s="32"/>
      <c r="W143" s="32"/>
      <c r="X143" s="32"/>
      <c r="Y143" s="32"/>
      <c r="Z143" s="32"/>
      <c r="AA143" s="32"/>
      <c r="AB143" s="32"/>
    </row>
    <row r="144" spans="2:28" ht="25.5" x14ac:dyDescent="0.2">
      <c r="B144" s="189"/>
      <c r="C144" s="190"/>
      <c r="D144" s="189"/>
      <c r="E144" s="196">
        <v>613</v>
      </c>
      <c r="F144" s="189" t="s">
        <v>268</v>
      </c>
      <c r="G144" s="195"/>
      <c r="H144" s="80" t="s">
        <v>613</v>
      </c>
      <c r="I144" s="196">
        <v>15</v>
      </c>
      <c r="J144" s="190" t="s">
        <v>440</v>
      </c>
      <c r="K144" s="196"/>
      <c r="L144" s="189" t="s">
        <v>1137</v>
      </c>
      <c r="M144" s="194"/>
      <c r="N144" s="37"/>
      <c r="O144" s="32"/>
      <c r="P144" s="32"/>
      <c r="Q144" s="32"/>
      <c r="R144" s="32"/>
      <c r="S144" s="32"/>
      <c r="T144" s="32"/>
      <c r="U144" s="32"/>
      <c r="V144" s="32"/>
      <c r="W144" s="32"/>
      <c r="X144" s="32"/>
      <c r="Y144" s="32"/>
      <c r="Z144" s="32"/>
      <c r="AA144" s="32"/>
      <c r="AB144" s="32"/>
    </row>
    <row r="145" spans="2:28" x14ac:dyDescent="0.2">
      <c r="B145" s="189" t="s">
        <v>857</v>
      </c>
      <c r="C145" s="190"/>
      <c r="D145" s="189"/>
      <c r="E145" s="189"/>
      <c r="F145" s="189"/>
      <c r="G145" s="195"/>
      <c r="H145" s="173" t="s">
        <v>463</v>
      </c>
      <c r="I145" s="189"/>
      <c r="J145" s="190"/>
      <c r="K145" s="189"/>
      <c r="L145" s="189"/>
      <c r="M145" s="91">
        <f>+M148+M150</f>
        <v>6395290400</v>
      </c>
      <c r="N145" s="37"/>
      <c r="O145" s="32"/>
      <c r="P145" s="32"/>
      <c r="Q145" s="32"/>
      <c r="R145" s="32"/>
      <c r="S145" s="32"/>
      <c r="T145" s="32"/>
      <c r="U145" s="32"/>
      <c r="V145" s="32"/>
      <c r="W145" s="32"/>
      <c r="X145" s="32"/>
      <c r="Y145" s="32"/>
      <c r="Z145" s="32"/>
      <c r="AA145" s="32"/>
      <c r="AB145" s="32"/>
    </row>
    <row r="146" spans="2:28" ht="25.5" x14ac:dyDescent="0.2">
      <c r="B146" s="189"/>
      <c r="C146" s="190"/>
      <c r="D146" s="189" t="s">
        <v>733</v>
      </c>
      <c r="E146" s="196">
        <v>520</v>
      </c>
      <c r="F146" s="189" t="s">
        <v>1080</v>
      </c>
      <c r="G146" s="195"/>
      <c r="H146" s="80" t="s">
        <v>732</v>
      </c>
      <c r="I146" s="196">
        <v>1</v>
      </c>
      <c r="J146" s="190" t="s">
        <v>358</v>
      </c>
      <c r="K146" s="196" t="s">
        <v>1487</v>
      </c>
      <c r="L146" s="189" t="s">
        <v>1182</v>
      </c>
      <c r="M146" s="194"/>
      <c r="N146" s="37"/>
      <c r="O146" s="32"/>
      <c r="P146" s="32"/>
      <c r="Q146" s="32"/>
      <c r="R146" s="32"/>
      <c r="S146" s="32"/>
      <c r="T146" s="32"/>
      <c r="U146" s="32"/>
      <c r="V146" s="32"/>
      <c r="W146" s="32"/>
      <c r="X146" s="32"/>
      <c r="Y146" s="32"/>
      <c r="Z146" s="32"/>
      <c r="AA146" s="32"/>
      <c r="AB146" s="32"/>
    </row>
    <row r="147" spans="2:28" ht="63.75" x14ac:dyDescent="0.2">
      <c r="B147" s="189"/>
      <c r="C147" s="190"/>
      <c r="D147" s="189" t="s">
        <v>236</v>
      </c>
      <c r="E147" s="196">
        <v>529</v>
      </c>
      <c r="F147" s="189" t="s">
        <v>1116</v>
      </c>
      <c r="G147" s="195"/>
      <c r="H147" s="213" t="s">
        <v>1145</v>
      </c>
      <c r="I147" s="196">
        <v>100</v>
      </c>
      <c r="J147" s="190" t="s">
        <v>179</v>
      </c>
      <c r="K147" s="196">
        <v>45</v>
      </c>
      <c r="L147" s="189" t="s">
        <v>1217</v>
      </c>
      <c r="M147" s="194"/>
      <c r="N147" s="37"/>
      <c r="O147" s="32"/>
      <c r="P147" s="32"/>
      <c r="Q147" s="32"/>
      <c r="R147" s="32"/>
      <c r="S147" s="32"/>
      <c r="T147" s="32"/>
      <c r="U147" s="32"/>
      <c r="V147" s="32"/>
      <c r="W147" s="32"/>
      <c r="X147" s="32"/>
      <c r="Y147" s="32"/>
      <c r="Z147" s="32"/>
      <c r="AA147" s="32"/>
      <c r="AB147" s="32"/>
    </row>
    <row r="148" spans="2:28" ht="51" x14ac:dyDescent="0.2">
      <c r="B148" s="189"/>
      <c r="C148" s="190" t="s">
        <v>1159</v>
      </c>
      <c r="D148" s="189"/>
      <c r="E148" s="189"/>
      <c r="F148" s="189"/>
      <c r="G148" s="195">
        <v>296140</v>
      </c>
      <c r="H148" s="80" t="s">
        <v>1234</v>
      </c>
      <c r="I148" s="189"/>
      <c r="J148" s="190"/>
      <c r="K148" s="189"/>
      <c r="L148" s="189"/>
      <c r="M148" s="183">
        <f>+M149</f>
        <v>2895290400</v>
      </c>
      <c r="N148" s="37"/>
      <c r="O148" s="32"/>
      <c r="P148" s="32"/>
      <c r="Q148" s="32"/>
      <c r="R148" s="32"/>
      <c r="S148" s="32"/>
      <c r="T148" s="32"/>
      <c r="U148" s="32"/>
      <c r="V148" s="32"/>
      <c r="W148" s="32"/>
      <c r="X148" s="32"/>
      <c r="Y148" s="32"/>
      <c r="Z148" s="32"/>
      <c r="AA148" s="32"/>
      <c r="AB148" s="32"/>
    </row>
    <row r="149" spans="2:28" x14ac:dyDescent="0.2">
      <c r="B149" s="189"/>
      <c r="C149" s="190"/>
      <c r="D149" s="189"/>
      <c r="E149" s="189"/>
      <c r="F149" s="189"/>
      <c r="G149" s="195"/>
      <c r="H149" s="80" t="s">
        <v>931</v>
      </c>
      <c r="I149" s="189"/>
      <c r="J149" s="190"/>
      <c r="K149" s="189"/>
      <c r="L149" s="189"/>
      <c r="M149" s="183">
        <v>2895290400</v>
      </c>
      <c r="N149" s="37"/>
      <c r="O149" s="32"/>
      <c r="P149" s="32"/>
      <c r="Q149" s="32"/>
      <c r="R149" s="32"/>
      <c r="S149" s="32"/>
      <c r="T149" s="32"/>
      <c r="U149" s="32"/>
      <c r="V149" s="32"/>
      <c r="W149" s="32"/>
      <c r="X149" s="32"/>
      <c r="Y149" s="32"/>
      <c r="Z149" s="32"/>
      <c r="AA149" s="32"/>
      <c r="AB149" s="32"/>
    </row>
    <row r="150" spans="2:28" ht="38.25" x14ac:dyDescent="0.2">
      <c r="B150" s="189"/>
      <c r="C150" s="190" t="s">
        <v>10</v>
      </c>
      <c r="D150" s="189"/>
      <c r="E150" s="189"/>
      <c r="F150" s="189"/>
      <c r="G150" s="195">
        <v>296140</v>
      </c>
      <c r="H150" s="80" t="s">
        <v>1486</v>
      </c>
      <c r="I150" s="189"/>
      <c r="J150" s="190"/>
      <c r="K150" s="189"/>
      <c r="L150" s="189"/>
      <c r="M150" s="183">
        <f>+M151</f>
        <v>3500000000</v>
      </c>
      <c r="N150" s="37"/>
      <c r="O150" s="32"/>
      <c r="P150" s="32"/>
      <c r="Q150" s="32"/>
      <c r="R150" s="32"/>
      <c r="S150" s="32"/>
      <c r="T150" s="32"/>
      <c r="U150" s="32"/>
      <c r="V150" s="32"/>
      <c r="W150" s="32"/>
      <c r="X150" s="32"/>
      <c r="Y150" s="32"/>
      <c r="Z150" s="32"/>
      <c r="AA150" s="32"/>
      <c r="AB150" s="32"/>
    </row>
    <row r="151" spans="2:28" x14ac:dyDescent="0.2">
      <c r="B151" s="189"/>
      <c r="C151" s="190"/>
      <c r="D151" s="189"/>
      <c r="E151" s="189"/>
      <c r="F151" s="189"/>
      <c r="G151" s="195"/>
      <c r="H151" s="80" t="s">
        <v>1488</v>
      </c>
      <c r="I151" s="189"/>
      <c r="J151" s="190"/>
      <c r="K151" s="189"/>
      <c r="L151" s="189"/>
      <c r="M151" s="183">
        <f>2500000000+600000000+1400000000-2500000000+1200000000+300000000</f>
        <v>3500000000</v>
      </c>
      <c r="N151" s="37"/>
      <c r="O151" s="32"/>
      <c r="P151" s="32"/>
      <c r="Q151" s="32"/>
      <c r="R151" s="32"/>
      <c r="S151" s="32"/>
      <c r="T151" s="32"/>
      <c r="U151" s="32"/>
      <c r="V151" s="32"/>
      <c r="W151" s="32"/>
      <c r="X151" s="32"/>
      <c r="Y151" s="32"/>
      <c r="Z151" s="32"/>
      <c r="AA151" s="32"/>
      <c r="AB151" s="32"/>
    </row>
    <row r="152" spans="2:28" x14ac:dyDescent="0.2">
      <c r="B152" s="189"/>
      <c r="C152" s="190"/>
      <c r="D152" s="189"/>
      <c r="E152" s="189"/>
      <c r="F152" s="189"/>
      <c r="G152" s="195"/>
      <c r="H152" s="80" t="s">
        <v>1115</v>
      </c>
      <c r="I152" s="189"/>
      <c r="J152" s="190"/>
      <c r="K152" s="189"/>
      <c r="L152" s="189"/>
      <c r="M152" s="183"/>
      <c r="N152" s="37"/>
      <c r="O152" s="32"/>
      <c r="P152" s="32"/>
      <c r="Q152" s="32"/>
      <c r="R152" s="32"/>
      <c r="S152" s="32"/>
      <c r="T152" s="32"/>
      <c r="U152" s="32"/>
      <c r="V152" s="32"/>
      <c r="W152" s="32"/>
      <c r="X152" s="32"/>
      <c r="Y152" s="32"/>
      <c r="Z152" s="32"/>
      <c r="AA152" s="32"/>
      <c r="AB152" s="32"/>
    </row>
    <row r="153" spans="2:28" ht="25.5" x14ac:dyDescent="0.2">
      <c r="B153" s="189"/>
      <c r="C153" s="190"/>
      <c r="D153" s="189"/>
      <c r="E153" s="189"/>
      <c r="F153" s="189"/>
      <c r="G153" s="195"/>
      <c r="H153" s="81" t="s">
        <v>331</v>
      </c>
      <c r="I153" s="214"/>
      <c r="J153" s="216"/>
      <c r="K153" s="214"/>
      <c r="L153" s="214"/>
      <c r="M153" s="91">
        <f>+M154</f>
        <v>80297498531</v>
      </c>
      <c r="N153" s="37"/>
      <c r="O153" s="32"/>
      <c r="P153" s="32"/>
      <c r="Q153" s="32"/>
      <c r="R153" s="32"/>
      <c r="S153" s="32"/>
      <c r="T153" s="32"/>
      <c r="U153" s="32"/>
      <c r="V153" s="32"/>
      <c r="W153" s="32"/>
      <c r="X153" s="32"/>
      <c r="Y153" s="32"/>
      <c r="Z153" s="32"/>
      <c r="AA153" s="32"/>
      <c r="AB153" s="32"/>
    </row>
    <row r="154" spans="2:28" x14ac:dyDescent="0.2">
      <c r="B154" s="189" t="s">
        <v>301</v>
      </c>
      <c r="C154" s="190"/>
      <c r="D154" s="189"/>
      <c r="E154" s="189"/>
      <c r="F154" s="189"/>
      <c r="G154" s="195"/>
      <c r="H154" s="173" t="s">
        <v>981</v>
      </c>
      <c r="I154" s="214"/>
      <c r="J154" s="216"/>
      <c r="K154" s="214"/>
      <c r="L154" s="214"/>
      <c r="M154" s="91">
        <f>+M155+M164</f>
        <v>80297498531</v>
      </c>
      <c r="N154" s="37"/>
      <c r="O154" s="32"/>
      <c r="P154" s="32"/>
      <c r="Q154" s="32"/>
      <c r="R154" s="32"/>
      <c r="S154" s="32"/>
      <c r="T154" s="32"/>
      <c r="U154" s="32"/>
      <c r="V154" s="32"/>
      <c r="W154" s="32"/>
      <c r="X154" s="32"/>
      <c r="Y154" s="32"/>
      <c r="Z154" s="32"/>
      <c r="AA154" s="32"/>
      <c r="AB154" s="32"/>
    </row>
    <row r="155" spans="2:28" ht="25.5" x14ac:dyDescent="0.2">
      <c r="B155" s="189" t="s">
        <v>1069</v>
      </c>
      <c r="C155" s="190"/>
      <c r="D155" s="189"/>
      <c r="E155" s="189"/>
      <c r="F155" s="189"/>
      <c r="G155" s="195"/>
      <c r="H155" s="173" t="s">
        <v>101</v>
      </c>
      <c r="I155" s="214"/>
      <c r="J155" s="216"/>
      <c r="K155" s="214"/>
      <c r="L155" s="214"/>
      <c r="M155" s="91">
        <f>+M157</f>
        <v>1000000000</v>
      </c>
      <c r="N155" s="37"/>
      <c r="O155" s="32"/>
      <c r="P155" s="32"/>
      <c r="Q155" s="32"/>
      <c r="R155" s="32"/>
      <c r="S155" s="32"/>
      <c r="T155" s="32"/>
      <c r="U155" s="32"/>
      <c r="V155" s="32"/>
      <c r="W155" s="32"/>
      <c r="X155" s="32"/>
      <c r="Y155" s="32"/>
      <c r="Z155" s="32"/>
      <c r="AA155" s="32"/>
      <c r="AB155" s="32"/>
    </row>
    <row r="156" spans="2:28" ht="25.5" x14ac:dyDescent="0.2">
      <c r="B156" s="189"/>
      <c r="C156" s="190"/>
      <c r="D156" s="189"/>
      <c r="E156" s="196">
        <v>269</v>
      </c>
      <c r="F156" s="189" t="s">
        <v>268</v>
      </c>
      <c r="G156" s="195"/>
      <c r="H156" s="80" t="s">
        <v>360</v>
      </c>
      <c r="I156" s="196">
        <v>116</v>
      </c>
      <c r="J156" s="190" t="s">
        <v>286</v>
      </c>
      <c r="K156" s="196"/>
      <c r="L156" s="189" t="s">
        <v>1223</v>
      </c>
      <c r="M156" s="194"/>
      <c r="N156" s="37"/>
      <c r="O156" s="32"/>
      <c r="P156" s="32"/>
      <c r="Q156" s="32"/>
      <c r="R156" s="32"/>
      <c r="S156" s="32"/>
      <c r="T156" s="32"/>
      <c r="U156" s="32"/>
      <c r="V156" s="32"/>
      <c r="W156" s="32"/>
      <c r="X156" s="32"/>
      <c r="Y156" s="32"/>
      <c r="Z156" s="32"/>
      <c r="AA156" s="32"/>
      <c r="AB156" s="32"/>
    </row>
    <row r="157" spans="2:28" x14ac:dyDescent="0.2">
      <c r="B157" s="189" t="s">
        <v>955</v>
      </c>
      <c r="C157" s="190"/>
      <c r="D157" s="189"/>
      <c r="E157" s="189"/>
      <c r="F157" s="189"/>
      <c r="G157" s="195"/>
      <c r="H157" s="173" t="s">
        <v>667</v>
      </c>
      <c r="I157" s="189"/>
      <c r="J157" s="190"/>
      <c r="K157" s="189"/>
      <c r="L157" s="189"/>
      <c r="M157" s="183">
        <f>+M159+M161</f>
        <v>1000000000</v>
      </c>
      <c r="N157" s="37"/>
      <c r="O157" s="32"/>
      <c r="P157" s="32"/>
      <c r="Q157" s="32"/>
      <c r="R157" s="32"/>
      <c r="S157" s="32"/>
      <c r="T157" s="32"/>
      <c r="U157" s="32"/>
      <c r="V157" s="32"/>
      <c r="W157" s="32"/>
      <c r="X157" s="32"/>
      <c r="Y157" s="32"/>
      <c r="Z157" s="32"/>
      <c r="AA157" s="32"/>
      <c r="AB157" s="32"/>
    </row>
    <row r="158" spans="2:28" ht="51" x14ac:dyDescent="0.2">
      <c r="B158" s="189"/>
      <c r="C158" s="190"/>
      <c r="D158" s="189" t="s">
        <v>691</v>
      </c>
      <c r="E158" s="196">
        <v>286</v>
      </c>
      <c r="F158" s="189" t="s">
        <v>1080</v>
      </c>
      <c r="G158" s="195"/>
      <c r="H158" s="80" t="s">
        <v>1034</v>
      </c>
      <c r="I158" s="196">
        <v>100</v>
      </c>
      <c r="J158" s="190" t="s">
        <v>804</v>
      </c>
      <c r="K158" s="196">
        <v>100</v>
      </c>
      <c r="L158" s="189" t="s">
        <v>1165</v>
      </c>
      <c r="M158" s="194"/>
      <c r="N158" s="37"/>
      <c r="O158" s="32"/>
      <c r="P158" s="32"/>
      <c r="Q158" s="32"/>
      <c r="R158" s="32"/>
      <c r="S158" s="32"/>
      <c r="T158" s="32"/>
      <c r="U158" s="32"/>
      <c r="V158" s="32"/>
      <c r="W158" s="32"/>
      <c r="X158" s="32"/>
      <c r="Y158" s="32"/>
      <c r="Z158" s="32"/>
      <c r="AA158" s="32"/>
      <c r="AB158" s="32"/>
    </row>
    <row r="159" spans="2:28" ht="51" x14ac:dyDescent="0.2">
      <c r="B159" s="189"/>
      <c r="C159" s="190" t="s">
        <v>1159</v>
      </c>
      <c r="D159" s="189"/>
      <c r="E159" s="189"/>
      <c r="F159" s="189"/>
      <c r="G159" s="195">
        <v>296102</v>
      </c>
      <c r="H159" s="80" t="s">
        <v>1235</v>
      </c>
      <c r="I159" s="189"/>
      <c r="J159" s="190"/>
      <c r="K159" s="189"/>
      <c r="L159" s="189"/>
      <c r="M159" s="183">
        <f>+M160</f>
        <v>370000000</v>
      </c>
      <c r="N159" s="37"/>
      <c r="O159" s="32"/>
      <c r="P159" s="32"/>
      <c r="Q159" s="32"/>
      <c r="R159" s="32"/>
      <c r="S159" s="32"/>
      <c r="T159" s="32"/>
      <c r="U159" s="32"/>
      <c r="V159" s="32"/>
      <c r="W159" s="32"/>
      <c r="X159" s="32"/>
      <c r="Y159" s="32"/>
      <c r="Z159" s="32"/>
      <c r="AA159" s="32"/>
      <c r="AB159" s="32"/>
    </row>
    <row r="160" spans="2:28" x14ac:dyDescent="0.2">
      <c r="B160" s="189"/>
      <c r="C160" s="190"/>
      <c r="D160" s="189"/>
      <c r="E160" s="189"/>
      <c r="F160" s="189"/>
      <c r="G160" s="195"/>
      <c r="H160" s="80" t="s">
        <v>723</v>
      </c>
      <c r="I160" s="189"/>
      <c r="J160" s="190"/>
      <c r="K160" s="189"/>
      <c r="L160" s="189"/>
      <c r="M160" s="183">
        <v>370000000</v>
      </c>
      <c r="N160" s="37"/>
      <c r="O160" s="32"/>
      <c r="P160" s="32"/>
      <c r="Q160" s="32"/>
      <c r="R160" s="32"/>
      <c r="S160" s="32"/>
      <c r="T160" s="32"/>
      <c r="U160" s="32"/>
      <c r="V160" s="32"/>
      <c r="W160" s="32"/>
      <c r="X160" s="32"/>
      <c r="Y160" s="32"/>
      <c r="Z160" s="32"/>
      <c r="AA160" s="32"/>
      <c r="AB160" s="32"/>
    </row>
    <row r="161" spans="2:28" ht="38.25" x14ac:dyDescent="0.2">
      <c r="B161" s="189"/>
      <c r="C161" s="190" t="s">
        <v>10</v>
      </c>
      <c r="D161" s="189"/>
      <c r="E161" s="189"/>
      <c r="F161" s="189"/>
      <c r="G161" s="195">
        <v>296102</v>
      </c>
      <c r="H161" s="80" t="s">
        <v>1489</v>
      </c>
      <c r="I161" s="189"/>
      <c r="J161" s="190"/>
      <c r="K161" s="189"/>
      <c r="L161" s="189"/>
      <c r="M161" s="183">
        <f>+M162</f>
        <v>630000000</v>
      </c>
      <c r="N161" s="37"/>
      <c r="O161" s="32"/>
      <c r="P161" s="32"/>
      <c r="Q161" s="32"/>
      <c r="R161" s="32"/>
      <c r="S161" s="32"/>
      <c r="T161" s="32"/>
      <c r="U161" s="32"/>
      <c r="V161" s="32"/>
      <c r="W161" s="32"/>
      <c r="X161" s="32"/>
      <c r="Y161" s="32"/>
      <c r="Z161" s="32"/>
      <c r="AA161" s="32"/>
      <c r="AB161" s="32"/>
    </row>
    <row r="162" spans="2:28" x14ac:dyDescent="0.2">
      <c r="B162" s="189"/>
      <c r="C162" s="190"/>
      <c r="D162" s="189"/>
      <c r="E162" s="189"/>
      <c r="F162" s="189"/>
      <c r="G162" s="195"/>
      <c r="H162" s="80" t="s">
        <v>723</v>
      </c>
      <c r="I162" s="189"/>
      <c r="J162" s="190"/>
      <c r="K162" s="189"/>
      <c r="L162" s="189"/>
      <c r="M162" s="183">
        <v>630000000</v>
      </c>
      <c r="N162" s="37"/>
      <c r="O162" s="32"/>
      <c r="P162" s="32"/>
      <c r="Q162" s="32"/>
      <c r="R162" s="32"/>
      <c r="S162" s="32"/>
      <c r="T162" s="32"/>
      <c r="U162" s="32"/>
      <c r="V162" s="32"/>
      <c r="W162" s="32"/>
      <c r="X162" s="32"/>
      <c r="Y162" s="32"/>
      <c r="Z162" s="32"/>
      <c r="AA162" s="32"/>
      <c r="AB162" s="32"/>
    </row>
    <row r="163" spans="2:28" x14ac:dyDescent="0.2">
      <c r="B163" s="189"/>
      <c r="C163" s="190"/>
      <c r="D163" s="189"/>
      <c r="E163" s="189"/>
      <c r="F163" s="189"/>
      <c r="G163" s="195"/>
      <c r="H163" s="80"/>
      <c r="I163" s="189"/>
      <c r="J163" s="190"/>
      <c r="K163" s="189"/>
      <c r="L163" s="189"/>
      <c r="M163" s="183"/>
      <c r="N163" s="37"/>
      <c r="O163" s="32"/>
      <c r="P163" s="32"/>
      <c r="Q163" s="32"/>
      <c r="R163" s="32"/>
      <c r="S163" s="32"/>
      <c r="T163" s="32"/>
      <c r="U163" s="32"/>
      <c r="V163" s="32"/>
      <c r="W163" s="32"/>
      <c r="X163" s="32"/>
      <c r="Y163" s="32"/>
      <c r="Z163" s="32"/>
      <c r="AA163" s="32"/>
      <c r="AB163" s="32"/>
    </row>
    <row r="164" spans="2:28" x14ac:dyDescent="0.2">
      <c r="B164" s="189" t="s">
        <v>472</v>
      </c>
      <c r="C164" s="190"/>
      <c r="D164" s="189"/>
      <c r="E164" s="189"/>
      <c r="F164" s="189"/>
      <c r="G164" s="195"/>
      <c r="H164" s="173" t="s">
        <v>1012</v>
      </c>
      <c r="I164" s="189"/>
      <c r="J164" s="190"/>
      <c r="K164" s="189"/>
      <c r="L164" s="189"/>
      <c r="M164" s="183">
        <f>+M166</f>
        <v>79297498531</v>
      </c>
      <c r="N164" s="37"/>
      <c r="O164" s="32"/>
      <c r="P164" s="32"/>
      <c r="Q164" s="32"/>
      <c r="R164" s="32"/>
      <c r="S164" s="32"/>
      <c r="T164" s="32"/>
      <c r="U164" s="32"/>
      <c r="V164" s="32"/>
      <c r="W164" s="32"/>
      <c r="X164" s="32"/>
      <c r="Y164" s="32"/>
      <c r="Z164" s="32"/>
      <c r="AA164" s="32"/>
      <c r="AB164" s="32"/>
    </row>
    <row r="165" spans="2:28" ht="51" x14ac:dyDescent="0.2">
      <c r="B165" s="189"/>
      <c r="C165" s="190"/>
      <c r="D165" s="189"/>
      <c r="E165" s="196">
        <v>203</v>
      </c>
      <c r="F165" s="189" t="s">
        <v>268</v>
      </c>
      <c r="G165" s="195"/>
      <c r="H165" s="80" t="s">
        <v>85</v>
      </c>
      <c r="I165" s="196">
        <v>80</v>
      </c>
      <c r="J165" s="190" t="s">
        <v>767</v>
      </c>
      <c r="K165" s="196">
        <v>30</v>
      </c>
      <c r="L165" s="189" t="s">
        <v>1209</v>
      </c>
      <c r="M165" s="194"/>
      <c r="N165" s="37"/>
      <c r="O165" s="32"/>
      <c r="P165" s="32"/>
      <c r="Q165" s="32"/>
      <c r="R165" s="32"/>
      <c r="S165" s="32"/>
      <c r="T165" s="32"/>
      <c r="U165" s="32"/>
      <c r="V165" s="32"/>
      <c r="W165" s="32"/>
      <c r="X165" s="32"/>
      <c r="Y165" s="32"/>
      <c r="Z165" s="32"/>
      <c r="AA165" s="32"/>
      <c r="AB165" s="32"/>
    </row>
    <row r="166" spans="2:28" x14ac:dyDescent="0.2">
      <c r="B166" s="189" t="s">
        <v>497</v>
      </c>
      <c r="C166" s="190"/>
      <c r="D166" s="189"/>
      <c r="E166" s="189"/>
      <c r="F166" s="189"/>
      <c r="G166" s="195"/>
      <c r="H166" s="173" t="s">
        <v>622</v>
      </c>
      <c r="I166" s="189"/>
      <c r="J166" s="190"/>
      <c r="K166" s="189"/>
      <c r="L166" s="189"/>
      <c r="M166" s="183">
        <f>+M168+M170</f>
        <v>79297498531</v>
      </c>
      <c r="N166" s="37"/>
      <c r="O166" s="32"/>
      <c r="P166" s="32"/>
      <c r="Q166" s="32"/>
      <c r="R166" s="32"/>
      <c r="S166" s="32"/>
      <c r="T166" s="32"/>
      <c r="U166" s="32"/>
      <c r="V166" s="32"/>
      <c r="W166" s="32"/>
      <c r="X166" s="32"/>
      <c r="Y166" s="32"/>
      <c r="Z166" s="32"/>
      <c r="AA166" s="32"/>
      <c r="AB166" s="32"/>
    </row>
    <row r="167" spans="2:28" ht="51" x14ac:dyDescent="0.2">
      <c r="B167" s="189"/>
      <c r="C167" s="190"/>
      <c r="D167" s="189" t="s">
        <v>691</v>
      </c>
      <c r="E167" s="196">
        <v>223</v>
      </c>
      <c r="F167" s="189" t="s">
        <v>1080</v>
      </c>
      <c r="G167" s="195"/>
      <c r="H167" s="80" t="s">
        <v>229</v>
      </c>
      <c r="I167" s="196">
        <v>100</v>
      </c>
      <c r="J167" s="190" t="s">
        <v>804</v>
      </c>
      <c r="K167" s="196">
        <v>100</v>
      </c>
      <c r="L167" s="189" t="s">
        <v>1165</v>
      </c>
      <c r="M167" s="194"/>
      <c r="N167" s="37"/>
      <c r="O167" s="32"/>
      <c r="P167" s="32"/>
      <c r="Q167" s="32"/>
      <c r="R167" s="32"/>
      <c r="S167" s="32"/>
      <c r="T167" s="32"/>
      <c r="U167" s="32"/>
      <c r="V167" s="32"/>
      <c r="W167" s="32"/>
      <c r="X167" s="32"/>
      <c r="Y167" s="32"/>
      <c r="Z167" s="32"/>
      <c r="AA167" s="32"/>
      <c r="AB167" s="32"/>
    </row>
    <row r="168" spans="2:28" ht="51" x14ac:dyDescent="0.2">
      <c r="B168" s="189"/>
      <c r="C168" s="190" t="s">
        <v>1159</v>
      </c>
      <c r="D168" s="189"/>
      <c r="E168" s="189"/>
      <c r="F168" s="189"/>
      <c r="G168" s="195">
        <v>296102</v>
      </c>
      <c r="H168" s="80" t="s">
        <v>1235</v>
      </c>
      <c r="I168" s="189"/>
      <c r="J168" s="190"/>
      <c r="K168" s="189"/>
      <c r="L168" s="189"/>
      <c r="M168" s="183">
        <f>SUM(M169:M169)</f>
        <v>14317462531</v>
      </c>
      <c r="N168" s="37"/>
      <c r="O168" s="32"/>
      <c r="P168" s="32"/>
      <c r="Q168" s="32"/>
      <c r="R168" s="32"/>
      <c r="S168" s="32"/>
      <c r="T168" s="32"/>
      <c r="U168" s="32"/>
      <c r="V168" s="32"/>
      <c r="W168" s="32"/>
      <c r="X168" s="32"/>
      <c r="Y168" s="32"/>
      <c r="Z168" s="32"/>
      <c r="AA168" s="32"/>
      <c r="AB168" s="32"/>
    </row>
    <row r="169" spans="2:28" x14ac:dyDescent="0.2">
      <c r="B169" s="189"/>
      <c r="C169" s="190"/>
      <c r="D169" s="189"/>
      <c r="E169" s="189"/>
      <c r="F169" s="189"/>
      <c r="G169" s="195"/>
      <c r="H169" s="80" t="s">
        <v>723</v>
      </c>
      <c r="I169" s="189"/>
      <c r="J169" s="190"/>
      <c r="K169" s="189"/>
      <c r="L169" s="189"/>
      <c r="M169" s="183">
        <v>14317462531</v>
      </c>
      <c r="N169" s="37"/>
      <c r="O169" s="32"/>
      <c r="P169" s="32"/>
      <c r="Q169" s="32"/>
      <c r="R169" s="32"/>
      <c r="S169" s="32"/>
      <c r="T169" s="32"/>
      <c r="U169" s="32"/>
      <c r="V169" s="32"/>
      <c r="W169" s="32"/>
      <c r="X169" s="32"/>
      <c r="Y169" s="32"/>
      <c r="Z169" s="32"/>
      <c r="AA169" s="32"/>
      <c r="AB169" s="32"/>
    </row>
    <row r="170" spans="2:28" ht="38.25" x14ac:dyDescent="0.2">
      <c r="B170" s="189"/>
      <c r="C170" s="190" t="s">
        <v>10</v>
      </c>
      <c r="D170" s="189"/>
      <c r="E170" s="189"/>
      <c r="F170" s="189"/>
      <c r="G170" s="195">
        <v>296102</v>
      </c>
      <c r="H170" s="80" t="s">
        <v>1489</v>
      </c>
      <c r="I170" s="189"/>
      <c r="J170" s="190"/>
      <c r="K170" s="189"/>
      <c r="L170" s="189"/>
      <c r="M170" s="183">
        <f>SUM(M171:M173)</f>
        <v>64980036000</v>
      </c>
      <c r="N170" s="37"/>
      <c r="O170" s="32"/>
      <c r="P170" s="32"/>
      <c r="Q170" s="32"/>
      <c r="R170" s="32"/>
      <c r="S170" s="32"/>
      <c r="T170" s="32"/>
      <c r="U170" s="32"/>
      <c r="V170" s="32"/>
      <c r="W170" s="32"/>
      <c r="X170" s="32"/>
      <c r="Y170" s="32"/>
      <c r="Z170" s="32"/>
      <c r="AA170" s="32"/>
      <c r="AB170" s="32"/>
    </row>
    <row r="171" spans="2:28" x14ac:dyDescent="0.2">
      <c r="B171" s="189"/>
      <c r="C171" s="190"/>
      <c r="D171" s="189"/>
      <c r="E171" s="189"/>
      <c r="F171" s="189"/>
      <c r="G171" s="195"/>
      <c r="H171" s="80" t="s">
        <v>723</v>
      </c>
      <c r="I171" s="189"/>
      <c r="J171" s="190"/>
      <c r="K171" s="189"/>
      <c r="L171" s="189"/>
      <c r="M171" s="183">
        <v>27151759469</v>
      </c>
      <c r="N171" s="37"/>
      <c r="O171" s="32"/>
      <c r="P171" s="32"/>
      <c r="Q171" s="32"/>
      <c r="R171" s="32"/>
      <c r="S171" s="32"/>
      <c r="T171" s="32"/>
      <c r="U171" s="32"/>
      <c r="V171" s="32"/>
      <c r="W171" s="32"/>
      <c r="X171" s="32"/>
      <c r="Y171" s="32"/>
      <c r="Z171" s="32"/>
      <c r="AA171" s="32"/>
      <c r="AB171" s="32"/>
    </row>
    <row r="172" spans="2:28" x14ac:dyDescent="0.2">
      <c r="B172" s="189"/>
      <c r="C172" s="190"/>
      <c r="D172" s="189"/>
      <c r="E172" s="189"/>
      <c r="F172" s="189"/>
      <c r="G172" s="195"/>
      <c r="H172" s="80" t="s">
        <v>371</v>
      </c>
      <c r="I172" s="189"/>
      <c r="J172" s="190"/>
      <c r="K172" s="189"/>
      <c r="L172" s="189"/>
      <c r="M172" s="183">
        <f>23510813515+485</f>
        <v>23510814000</v>
      </c>
      <c r="N172" s="37"/>
      <c r="O172" s="32"/>
      <c r="P172" s="32"/>
      <c r="Q172" s="32"/>
      <c r="R172" s="32"/>
      <c r="S172" s="32"/>
      <c r="T172" s="32"/>
      <c r="U172" s="32"/>
      <c r="V172" s="32"/>
      <c r="W172" s="32"/>
      <c r="X172" s="32"/>
      <c r="Y172" s="32"/>
      <c r="Z172" s="32"/>
      <c r="AA172" s="32"/>
      <c r="AB172" s="32"/>
    </row>
    <row r="173" spans="2:28" x14ac:dyDescent="0.2">
      <c r="B173" s="189"/>
      <c r="C173" s="190"/>
      <c r="D173" s="189"/>
      <c r="E173" s="189"/>
      <c r="F173" s="189"/>
      <c r="G173" s="195"/>
      <c r="H173" s="80" t="s">
        <v>1158</v>
      </c>
      <c r="I173" s="189"/>
      <c r="J173" s="190"/>
      <c r="K173" s="189"/>
      <c r="L173" s="189"/>
      <c r="M173" s="183">
        <v>14317462531</v>
      </c>
      <c r="N173" s="37"/>
      <c r="O173" s="32"/>
      <c r="P173" s="32"/>
      <c r="Q173" s="32"/>
      <c r="R173" s="32"/>
      <c r="S173" s="32"/>
      <c r="T173" s="32"/>
      <c r="U173" s="32"/>
      <c r="V173" s="32"/>
      <c r="W173" s="32"/>
      <c r="X173" s="32"/>
      <c r="Y173" s="32"/>
      <c r="Z173" s="32"/>
      <c r="AA173" s="32"/>
      <c r="AB173" s="32"/>
    </row>
    <row r="174" spans="2:28" x14ac:dyDescent="0.2">
      <c r="B174" s="189"/>
      <c r="C174" s="190"/>
      <c r="D174" s="189"/>
      <c r="E174" s="189"/>
      <c r="F174" s="189"/>
      <c r="G174" s="195"/>
      <c r="H174" s="81" t="s">
        <v>56</v>
      </c>
      <c r="I174" s="214"/>
      <c r="J174" s="216"/>
      <c r="K174" s="214"/>
      <c r="L174" s="214"/>
      <c r="M174" s="91">
        <f>+M175+M205+M220+M230</f>
        <v>192415146469</v>
      </c>
      <c r="N174" s="37"/>
      <c r="O174" s="32"/>
      <c r="P174" s="32"/>
      <c r="Q174" s="32"/>
      <c r="R174" s="32"/>
      <c r="S174" s="32"/>
      <c r="T174" s="32"/>
      <c r="U174" s="32"/>
      <c r="V174" s="32"/>
      <c r="W174" s="32"/>
      <c r="X174" s="32"/>
      <c r="Y174" s="32"/>
      <c r="Z174" s="32"/>
      <c r="AA174" s="32"/>
      <c r="AB174" s="32"/>
    </row>
    <row r="175" spans="2:28" x14ac:dyDescent="0.2">
      <c r="B175" s="189" t="s">
        <v>301</v>
      </c>
      <c r="C175" s="190"/>
      <c r="D175" s="189"/>
      <c r="E175" s="189"/>
      <c r="F175" s="189"/>
      <c r="G175" s="195"/>
      <c r="H175" s="173" t="s">
        <v>981</v>
      </c>
      <c r="I175" s="189"/>
      <c r="J175" s="190"/>
      <c r="K175" s="189"/>
      <c r="L175" s="189"/>
      <c r="M175" s="91">
        <f>+M176+M198</f>
        <v>80474093162</v>
      </c>
      <c r="N175" s="37"/>
      <c r="O175" s="32"/>
      <c r="P175" s="32"/>
      <c r="Q175" s="32"/>
      <c r="R175" s="32"/>
      <c r="S175" s="32"/>
      <c r="T175" s="32"/>
      <c r="U175" s="32"/>
      <c r="V175" s="32"/>
      <c r="W175" s="32"/>
      <c r="X175" s="32"/>
      <c r="Y175" s="32"/>
      <c r="Z175" s="32"/>
      <c r="AA175" s="32"/>
      <c r="AB175" s="32"/>
    </row>
    <row r="176" spans="2:28" x14ac:dyDescent="0.2">
      <c r="B176" s="189" t="s">
        <v>472</v>
      </c>
      <c r="C176" s="190"/>
      <c r="D176" s="189"/>
      <c r="E176" s="189"/>
      <c r="F176" s="189"/>
      <c r="G176" s="195"/>
      <c r="H176" s="173" t="s">
        <v>1012</v>
      </c>
      <c r="I176" s="189"/>
      <c r="J176" s="190"/>
      <c r="K176" s="189"/>
      <c r="L176" s="189"/>
      <c r="M176" s="91">
        <f>+M178+M191</f>
        <v>80324093162</v>
      </c>
      <c r="N176" s="37"/>
      <c r="O176" s="32"/>
      <c r="P176" s="32"/>
      <c r="Q176" s="32"/>
      <c r="R176" s="32"/>
      <c r="S176" s="32"/>
      <c r="T176" s="32"/>
      <c r="U176" s="32"/>
      <c r="V176" s="32"/>
      <c r="W176" s="32"/>
      <c r="X176" s="32"/>
      <c r="Y176" s="32"/>
      <c r="Z176" s="32"/>
      <c r="AA176" s="32"/>
      <c r="AB176" s="32"/>
    </row>
    <row r="177" spans="2:28" ht="51" x14ac:dyDescent="0.2">
      <c r="B177" s="189"/>
      <c r="C177" s="190"/>
      <c r="D177" s="189"/>
      <c r="E177" s="196">
        <v>203</v>
      </c>
      <c r="F177" s="189" t="s">
        <v>268</v>
      </c>
      <c r="G177" s="195"/>
      <c r="H177" s="80" t="s">
        <v>85</v>
      </c>
      <c r="I177" s="196">
        <v>80</v>
      </c>
      <c r="J177" s="190" t="s">
        <v>767</v>
      </c>
      <c r="K177" s="196">
        <v>100</v>
      </c>
      <c r="L177" s="189" t="s">
        <v>1209</v>
      </c>
      <c r="M177" s="194"/>
      <c r="N177" s="37"/>
      <c r="O177" s="32"/>
      <c r="P177" s="32"/>
      <c r="Q177" s="32"/>
      <c r="R177" s="32"/>
      <c r="S177" s="32"/>
      <c r="T177" s="32"/>
      <c r="U177" s="32"/>
      <c r="V177" s="32"/>
      <c r="W177" s="32"/>
      <c r="X177" s="32"/>
      <c r="Y177" s="32"/>
      <c r="Z177" s="32"/>
      <c r="AA177" s="32"/>
      <c r="AB177" s="32"/>
    </row>
    <row r="178" spans="2:28" x14ac:dyDescent="0.2">
      <c r="B178" s="189" t="s">
        <v>885</v>
      </c>
      <c r="C178" s="190"/>
      <c r="D178" s="189"/>
      <c r="E178" s="189"/>
      <c r="F178" s="189"/>
      <c r="G178" s="195"/>
      <c r="H178" s="173" t="s">
        <v>263</v>
      </c>
      <c r="I178" s="189"/>
      <c r="J178" s="190"/>
      <c r="K178" s="189"/>
      <c r="L178" s="189"/>
      <c r="M178" s="91">
        <f>+M184+M186+M188</f>
        <v>79649940000</v>
      </c>
      <c r="N178" s="37"/>
      <c r="O178" s="32"/>
      <c r="P178" s="32"/>
      <c r="Q178" s="32"/>
      <c r="R178" s="32"/>
      <c r="S178" s="32"/>
      <c r="T178" s="32"/>
      <c r="U178" s="32"/>
      <c r="V178" s="32"/>
      <c r="W178" s="32"/>
      <c r="X178" s="32"/>
      <c r="Y178" s="32"/>
      <c r="Z178" s="32"/>
      <c r="AA178" s="32"/>
      <c r="AB178" s="32"/>
    </row>
    <row r="179" spans="2:28" ht="25.5" x14ac:dyDescent="0.2">
      <c r="B179" s="189"/>
      <c r="C179" s="190"/>
      <c r="D179" s="189" t="s">
        <v>320</v>
      </c>
      <c r="E179" s="196">
        <v>239</v>
      </c>
      <c r="F179" s="189" t="s">
        <v>1080</v>
      </c>
      <c r="G179" s="195"/>
      <c r="H179" s="80" t="s">
        <v>147</v>
      </c>
      <c r="I179" s="196">
        <v>116</v>
      </c>
      <c r="J179" s="190" t="s">
        <v>286</v>
      </c>
      <c r="K179" s="196">
        <v>116</v>
      </c>
      <c r="L179" s="189" t="s">
        <v>1330</v>
      </c>
      <c r="M179" s="91"/>
      <c r="N179" s="37"/>
      <c r="O179" s="32"/>
      <c r="P179" s="32"/>
      <c r="Q179" s="32"/>
      <c r="R179" s="32"/>
      <c r="S179" s="32"/>
      <c r="T179" s="32"/>
      <c r="U179" s="32"/>
      <c r="V179" s="32"/>
      <c r="W179" s="32"/>
      <c r="X179" s="32"/>
      <c r="Y179" s="32"/>
      <c r="Z179" s="32"/>
      <c r="AA179" s="32"/>
      <c r="AB179" s="32"/>
    </row>
    <row r="180" spans="2:28" ht="25.5" x14ac:dyDescent="0.2">
      <c r="B180" s="189"/>
      <c r="C180" s="190"/>
      <c r="D180" s="189" t="s">
        <v>320</v>
      </c>
      <c r="E180" s="196">
        <v>240</v>
      </c>
      <c r="F180" s="189" t="s">
        <v>1080</v>
      </c>
      <c r="G180" s="195"/>
      <c r="H180" s="80" t="s">
        <v>182</v>
      </c>
      <c r="I180" s="196">
        <v>116</v>
      </c>
      <c r="J180" s="190" t="s">
        <v>286</v>
      </c>
      <c r="K180" s="196">
        <v>15</v>
      </c>
      <c r="L180" s="189" t="s">
        <v>1236</v>
      </c>
      <c r="M180" s="91"/>
      <c r="N180" s="37"/>
      <c r="O180" s="32"/>
      <c r="P180" s="32"/>
      <c r="Q180" s="32"/>
      <c r="R180" s="32"/>
      <c r="S180" s="32"/>
      <c r="T180" s="32"/>
      <c r="U180" s="32"/>
      <c r="V180" s="32"/>
      <c r="W180" s="32"/>
      <c r="X180" s="32"/>
      <c r="Y180" s="32"/>
      <c r="Z180" s="32"/>
      <c r="AA180" s="32"/>
      <c r="AB180" s="32"/>
    </row>
    <row r="181" spans="2:28" ht="25.5" x14ac:dyDescent="0.2">
      <c r="B181" s="189"/>
      <c r="C181" s="190"/>
      <c r="D181" s="189" t="s">
        <v>320</v>
      </c>
      <c r="E181" s="196">
        <v>245</v>
      </c>
      <c r="F181" s="189" t="s">
        <v>319</v>
      </c>
      <c r="G181" s="195"/>
      <c r="H181" s="80" t="s">
        <v>758</v>
      </c>
      <c r="I181" s="196">
        <v>14</v>
      </c>
      <c r="J181" s="190" t="s">
        <v>440</v>
      </c>
      <c r="K181" s="196">
        <v>5</v>
      </c>
      <c r="L181" s="189" t="s">
        <v>1137</v>
      </c>
      <c r="M181" s="91"/>
      <c r="N181" s="37"/>
      <c r="O181" s="32"/>
      <c r="P181" s="32"/>
      <c r="Q181" s="32"/>
      <c r="R181" s="32"/>
      <c r="S181" s="32"/>
      <c r="T181" s="32"/>
      <c r="U181" s="32"/>
      <c r="V181" s="32"/>
      <c r="W181" s="32"/>
      <c r="X181" s="32"/>
      <c r="Y181" s="32"/>
      <c r="Z181" s="32"/>
      <c r="AA181" s="32"/>
      <c r="AB181" s="32"/>
    </row>
    <row r="182" spans="2:28" ht="25.5" x14ac:dyDescent="0.2">
      <c r="B182" s="189"/>
      <c r="C182" s="190"/>
      <c r="D182" s="189" t="s">
        <v>320</v>
      </c>
      <c r="E182" s="196">
        <v>246</v>
      </c>
      <c r="F182" s="189" t="s">
        <v>319</v>
      </c>
      <c r="G182" s="195"/>
      <c r="H182" s="80" t="s">
        <v>825</v>
      </c>
      <c r="I182" s="197">
        <v>0.8</v>
      </c>
      <c r="J182" s="190" t="s">
        <v>440</v>
      </c>
      <c r="K182" s="196" t="s">
        <v>1490</v>
      </c>
      <c r="L182" s="189" t="s">
        <v>1182</v>
      </c>
      <c r="M182" s="194"/>
      <c r="N182" s="37"/>
      <c r="O182" s="32"/>
      <c r="P182" s="32"/>
      <c r="Q182" s="32"/>
      <c r="R182" s="32"/>
      <c r="S182" s="32"/>
      <c r="T182" s="32"/>
      <c r="U182" s="32"/>
      <c r="V182" s="32"/>
      <c r="W182" s="32"/>
      <c r="X182" s="32"/>
      <c r="Y182" s="32"/>
      <c r="Z182" s="32"/>
      <c r="AA182" s="32"/>
      <c r="AB182" s="32"/>
    </row>
    <row r="183" spans="2:28" x14ac:dyDescent="0.2">
      <c r="B183" s="189"/>
      <c r="C183" s="190"/>
      <c r="D183" s="175"/>
      <c r="E183" s="175"/>
      <c r="F183" s="175"/>
      <c r="G183" s="175"/>
      <c r="H183" s="175"/>
      <c r="I183" s="175"/>
      <c r="J183" s="175"/>
      <c r="K183" s="175"/>
      <c r="L183" s="175"/>
      <c r="M183" s="194"/>
      <c r="N183" s="37"/>
      <c r="O183" s="32"/>
      <c r="P183" s="32"/>
      <c r="Q183" s="32"/>
      <c r="R183" s="32"/>
      <c r="S183" s="32"/>
      <c r="T183" s="32"/>
      <c r="U183" s="32"/>
      <c r="V183" s="32"/>
      <c r="W183" s="32"/>
      <c r="X183" s="32"/>
      <c r="Y183" s="32"/>
      <c r="Z183" s="32"/>
      <c r="AA183" s="32"/>
      <c r="AB183" s="32"/>
    </row>
    <row r="184" spans="2:28" ht="25.5" x14ac:dyDescent="0.2">
      <c r="B184" s="189"/>
      <c r="C184" s="190" t="s">
        <v>10</v>
      </c>
      <c r="D184" s="189"/>
      <c r="E184" s="189"/>
      <c r="F184" s="189"/>
      <c r="G184" s="195">
        <v>296099</v>
      </c>
      <c r="H184" s="80" t="s">
        <v>17</v>
      </c>
      <c r="I184" s="189"/>
      <c r="J184" s="190"/>
      <c r="K184" s="189"/>
      <c r="L184" s="189"/>
      <c r="M184" s="183">
        <f>+M185</f>
        <v>78638500000</v>
      </c>
      <c r="N184" s="37"/>
      <c r="O184" s="32"/>
      <c r="P184" s="32"/>
      <c r="Q184" s="32"/>
      <c r="R184" s="32"/>
      <c r="S184" s="32"/>
      <c r="T184" s="32"/>
      <c r="U184" s="32"/>
      <c r="V184" s="32"/>
      <c r="W184" s="32"/>
      <c r="X184" s="32"/>
      <c r="Y184" s="32"/>
      <c r="Z184" s="32"/>
      <c r="AA184" s="32"/>
      <c r="AB184" s="32"/>
    </row>
    <row r="185" spans="2:28" x14ac:dyDescent="0.2">
      <c r="B185" s="189"/>
      <c r="C185" s="190"/>
      <c r="D185" s="189"/>
      <c r="E185" s="189"/>
      <c r="F185" s="189"/>
      <c r="G185" s="195"/>
      <c r="H185" s="80" t="s">
        <v>1158</v>
      </c>
      <c r="I185" s="189"/>
      <c r="J185" s="190"/>
      <c r="K185" s="189"/>
      <c r="L185" s="189"/>
      <c r="M185" s="183">
        <v>78638500000</v>
      </c>
      <c r="N185" s="37"/>
      <c r="O185" s="32"/>
      <c r="P185" s="32"/>
      <c r="Q185" s="32"/>
      <c r="R185" s="32"/>
      <c r="S185" s="32"/>
      <c r="T185" s="32"/>
      <c r="U185" s="32"/>
      <c r="V185" s="32"/>
      <c r="W185" s="32"/>
      <c r="X185" s="32"/>
      <c r="Y185" s="32"/>
      <c r="Z185" s="32"/>
      <c r="AA185" s="32"/>
      <c r="AB185" s="32"/>
    </row>
    <row r="186" spans="2:28" ht="51" x14ac:dyDescent="0.2">
      <c r="B186" s="189"/>
      <c r="C186" s="190" t="s">
        <v>1159</v>
      </c>
      <c r="D186" s="189"/>
      <c r="E186" s="189"/>
      <c r="F186" s="189"/>
      <c r="G186" s="195">
        <v>296105</v>
      </c>
      <c r="H186" s="80" t="s">
        <v>1237</v>
      </c>
      <c r="I186" s="189"/>
      <c r="J186" s="190"/>
      <c r="K186" s="189"/>
      <c r="L186" s="189"/>
      <c r="M186" s="183">
        <f>+M187</f>
        <v>884640000</v>
      </c>
      <c r="N186" s="37"/>
      <c r="O186" s="32"/>
      <c r="P186" s="32"/>
      <c r="Q186" s="32"/>
      <c r="R186" s="32"/>
      <c r="S186" s="32"/>
      <c r="T186" s="32"/>
      <c r="U186" s="32"/>
      <c r="V186" s="32"/>
      <c r="W186" s="32"/>
      <c r="X186" s="32"/>
      <c r="Y186" s="32"/>
      <c r="Z186" s="32"/>
      <c r="AA186" s="32"/>
      <c r="AB186" s="32"/>
    </row>
    <row r="187" spans="2:28" x14ac:dyDescent="0.2">
      <c r="B187" s="189"/>
      <c r="C187" s="190"/>
      <c r="D187" s="189"/>
      <c r="E187" s="189"/>
      <c r="F187" s="189"/>
      <c r="G187" s="195"/>
      <c r="H187" s="80" t="s">
        <v>835</v>
      </c>
      <c r="I187" s="189"/>
      <c r="J187" s="190"/>
      <c r="K187" s="189"/>
      <c r="L187" s="189"/>
      <c r="M187" s="183">
        <v>884640000</v>
      </c>
      <c r="N187" s="37"/>
      <c r="O187" s="32"/>
      <c r="P187" s="32"/>
      <c r="Q187" s="32"/>
      <c r="R187" s="32"/>
      <c r="S187" s="32"/>
      <c r="T187" s="32"/>
      <c r="U187" s="32"/>
      <c r="V187" s="32"/>
      <c r="W187" s="32"/>
      <c r="X187" s="32"/>
      <c r="Y187" s="32"/>
      <c r="Z187" s="32"/>
      <c r="AA187" s="32"/>
      <c r="AB187" s="32"/>
    </row>
    <row r="188" spans="2:28" ht="51" x14ac:dyDescent="0.2">
      <c r="B188" s="189"/>
      <c r="C188" s="190" t="s">
        <v>10</v>
      </c>
      <c r="D188" s="189"/>
      <c r="E188" s="189"/>
      <c r="F188" s="189"/>
      <c r="G188" s="195">
        <v>296105</v>
      </c>
      <c r="H188" s="80" t="s">
        <v>1491</v>
      </c>
      <c r="I188" s="189"/>
      <c r="J188" s="190"/>
      <c r="K188" s="189"/>
      <c r="L188" s="189"/>
      <c r="M188" s="183">
        <f>+M189</f>
        <v>126800000</v>
      </c>
      <c r="N188" s="37"/>
      <c r="O188" s="32"/>
      <c r="P188" s="32"/>
      <c r="Q188" s="32"/>
      <c r="R188" s="32"/>
      <c r="S188" s="32"/>
      <c r="T188" s="32"/>
      <c r="U188" s="32"/>
      <c r="V188" s="32"/>
      <c r="W188" s="32"/>
      <c r="X188" s="32"/>
      <c r="Y188" s="32"/>
      <c r="Z188" s="32"/>
      <c r="AA188" s="32"/>
      <c r="AB188" s="32"/>
    </row>
    <row r="189" spans="2:28" x14ac:dyDescent="0.2">
      <c r="B189" s="189"/>
      <c r="C189" s="190"/>
      <c r="D189" s="189"/>
      <c r="E189" s="189"/>
      <c r="F189" s="189"/>
      <c r="G189" s="195"/>
      <c r="H189" s="80" t="s">
        <v>835</v>
      </c>
      <c r="I189" s="189"/>
      <c r="J189" s="190"/>
      <c r="K189" s="189"/>
      <c r="L189" s="189"/>
      <c r="M189" s="183">
        <f>226800000-100000000</f>
        <v>126800000</v>
      </c>
      <c r="N189" s="37"/>
      <c r="O189" s="32"/>
      <c r="P189" s="32"/>
      <c r="Q189" s="32"/>
      <c r="R189" s="32"/>
      <c r="S189" s="32"/>
      <c r="T189" s="32"/>
      <c r="U189" s="32"/>
      <c r="V189" s="32"/>
      <c r="W189" s="32"/>
      <c r="X189" s="32"/>
      <c r="Y189" s="32"/>
      <c r="Z189" s="32"/>
      <c r="AA189" s="32"/>
      <c r="AB189" s="32"/>
    </row>
    <row r="190" spans="2:28" x14ac:dyDescent="0.2">
      <c r="B190" s="189"/>
      <c r="C190" s="190"/>
      <c r="D190" s="189"/>
      <c r="E190" s="189"/>
      <c r="F190" s="189"/>
      <c r="G190" s="195"/>
      <c r="H190" s="80"/>
      <c r="I190" s="189"/>
      <c r="J190" s="190"/>
      <c r="K190" s="189"/>
      <c r="L190" s="189"/>
      <c r="M190" s="183"/>
      <c r="N190" s="37"/>
      <c r="O190" s="32"/>
      <c r="P190" s="32"/>
      <c r="Q190" s="32"/>
      <c r="R190" s="32"/>
      <c r="S190" s="32"/>
      <c r="T190" s="32"/>
      <c r="U190" s="32"/>
      <c r="V190" s="32"/>
      <c r="W190" s="32"/>
      <c r="X190" s="32"/>
      <c r="Y190" s="32"/>
      <c r="Z190" s="32"/>
      <c r="AA190" s="32"/>
      <c r="AB190" s="32"/>
    </row>
    <row r="191" spans="2:28" x14ac:dyDescent="0.2">
      <c r="B191" s="189" t="s">
        <v>497</v>
      </c>
      <c r="C191" s="190"/>
      <c r="D191" s="189"/>
      <c r="E191" s="189"/>
      <c r="F191" s="189"/>
      <c r="G191" s="195"/>
      <c r="H191" s="173" t="s">
        <v>1492</v>
      </c>
      <c r="I191" s="189"/>
      <c r="J191" s="190"/>
      <c r="K191" s="189"/>
      <c r="L191" s="189"/>
      <c r="M191" s="183">
        <f>+M195</f>
        <v>674153162</v>
      </c>
      <c r="N191" s="37"/>
      <c r="O191" s="32"/>
      <c r="P191" s="32"/>
      <c r="Q191" s="32"/>
      <c r="R191" s="32"/>
      <c r="S191" s="32"/>
      <c r="T191" s="32"/>
      <c r="U191" s="32"/>
      <c r="V191" s="32"/>
      <c r="W191" s="32"/>
      <c r="X191" s="32"/>
      <c r="Y191" s="32"/>
      <c r="Z191" s="32"/>
      <c r="AA191" s="32"/>
      <c r="AB191" s="32"/>
    </row>
    <row r="192" spans="2:28" ht="51" x14ac:dyDescent="0.2">
      <c r="B192" s="189"/>
      <c r="C192" s="190"/>
      <c r="D192" s="189"/>
      <c r="E192" s="196">
        <v>222</v>
      </c>
      <c r="F192" s="189" t="s">
        <v>1080</v>
      </c>
      <c r="G192" s="195"/>
      <c r="H192" s="80" t="s">
        <v>1139</v>
      </c>
      <c r="I192" s="196">
        <v>40</v>
      </c>
      <c r="J192" s="190" t="s">
        <v>440</v>
      </c>
      <c r="K192" s="196">
        <v>15</v>
      </c>
      <c r="L192" s="189" t="s">
        <v>1195</v>
      </c>
      <c r="M192" s="183"/>
      <c r="N192" s="37"/>
      <c r="O192" s="32"/>
      <c r="P192" s="32"/>
      <c r="Q192" s="32"/>
      <c r="R192" s="32"/>
      <c r="S192" s="32"/>
      <c r="T192" s="32"/>
      <c r="U192" s="32"/>
      <c r="V192" s="32"/>
      <c r="W192" s="32"/>
      <c r="X192" s="32"/>
      <c r="Y192" s="32"/>
      <c r="Z192" s="32"/>
      <c r="AA192" s="32"/>
      <c r="AB192" s="32"/>
    </row>
    <row r="193" spans="2:28" ht="76.5" x14ac:dyDescent="0.2">
      <c r="B193" s="189"/>
      <c r="C193" s="190"/>
      <c r="D193" s="189"/>
      <c r="E193" s="196">
        <v>224</v>
      </c>
      <c r="F193" s="189" t="s">
        <v>1080</v>
      </c>
      <c r="G193" s="195"/>
      <c r="H193" s="80" t="s">
        <v>1493</v>
      </c>
      <c r="I193" s="196">
        <v>60</v>
      </c>
      <c r="J193" s="190" t="s">
        <v>1494</v>
      </c>
      <c r="K193" s="196">
        <v>10</v>
      </c>
      <c r="L193" s="189" t="s">
        <v>1167</v>
      </c>
      <c r="M193" s="183"/>
      <c r="N193" s="37"/>
      <c r="O193" s="32"/>
      <c r="P193" s="32"/>
      <c r="Q193" s="32"/>
      <c r="R193" s="32"/>
      <c r="S193" s="32"/>
      <c r="T193" s="32"/>
      <c r="U193" s="32"/>
      <c r="V193" s="32"/>
      <c r="W193" s="32"/>
      <c r="X193" s="32"/>
      <c r="Y193" s="32"/>
      <c r="Z193" s="32"/>
      <c r="AA193" s="32"/>
      <c r="AB193" s="32"/>
    </row>
    <row r="194" spans="2:28" x14ac:dyDescent="0.2">
      <c r="B194" s="189"/>
      <c r="C194" s="190"/>
      <c r="D194" s="189"/>
      <c r="E194" s="196"/>
      <c r="F194" s="189"/>
      <c r="G194" s="195"/>
      <c r="H194" s="80"/>
      <c r="I194" s="196"/>
      <c r="J194" s="190"/>
      <c r="K194" s="196"/>
      <c r="L194" s="189"/>
      <c r="M194" s="183"/>
      <c r="N194" s="37"/>
      <c r="O194" s="32"/>
      <c r="P194" s="32"/>
      <c r="Q194" s="32"/>
      <c r="R194" s="32"/>
      <c r="S194" s="32"/>
      <c r="T194" s="32"/>
      <c r="U194" s="32"/>
      <c r="V194" s="32"/>
      <c r="W194" s="32"/>
      <c r="X194" s="32"/>
      <c r="Y194" s="32"/>
      <c r="Z194" s="32"/>
      <c r="AA194" s="32"/>
      <c r="AB194" s="32"/>
    </row>
    <row r="195" spans="2:28" ht="51" x14ac:dyDescent="0.2">
      <c r="B195" s="189"/>
      <c r="C195" s="190" t="s">
        <v>10</v>
      </c>
      <c r="D195" s="189"/>
      <c r="E195" s="189"/>
      <c r="F195" s="189"/>
      <c r="G195" s="195">
        <v>296105</v>
      </c>
      <c r="H195" s="80" t="s">
        <v>1491</v>
      </c>
      <c r="I195" s="196"/>
      <c r="J195" s="190"/>
      <c r="K195" s="196"/>
      <c r="L195" s="189"/>
      <c r="M195" s="183">
        <f>+M196</f>
        <v>674153162</v>
      </c>
      <c r="N195" s="37"/>
      <c r="O195" s="32"/>
      <c r="P195" s="32"/>
      <c r="Q195" s="32"/>
      <c r="R195" s="32"/>
      <c r="S195" s="32"/>
      <c r="T195" s="32"/>
      <c r="U195" s="32"/>
      <c r="V195" s="32"/>
      <c r="W195" s="32"/>
      <c r="X195" s="32"/>
      <c r="Y195" s="32"/>
      <c r="Z195" s="32"/>
      <c r="AA195" s="32"/>
      <c r="AB195" s="32"/>
    </row>
    <row r="196" spans="2:28" x14ac:dyDescent="0.2">
      <c r="B196" s="189"/>
      <c r="C196" s="190"/>
      <c r="D196" s="189"/>
      <c r="E196" s="196"/>
      <c r="F196" s="189"/>
      <c r="G196" s="195"/>
      <c r="H196" s="80" t="s">
        <v>1442</v>
      </c>
      <c r="I196" s="196"/>
      <c r="J196" s="190"/>
      <c r="K196" s="196"/>
      <c r="L196" s="189"/>
      <c r="M196" s="183">
        <f>810000000+240000000-700000000+224153162+100000000</f>
        <v>674153162</v>
      </c>
      <c r="N196" s="37"/>
      <c r="O196" s="32"/>
      <c r="P196" s="32"/>
      <c r="Q196" s="32"/>
      <c r="R196" s="32"/>
      <c r="S196" s="32"/>
      <c r="T196" s="32"/>
      <c r="U196" s="32"/>
      <c r="V196" s="32"/>
      <c r="W196" s="32"/>
      <c r="X196" s="32"/>
      <c r="Y196" s="32"/>
      <c r="Z196" s="32"/>
      <c r="AA196" s="32"/>
      <c r="AB196" s="32"/>
    </row>
    <row r="197" spans="2:28" x14ac:dyDescent="0.2">
      <c r="B197" s="189"/>
      <c r="C197" s="190"/>
      <c r="D197" s="189"/>
      <c r="E197" s="196"/>
      <c r="F197" s="189"/>
      <c r="G197" s="195"/>
      <c r="H197" s="80"/>
      <c r="I197" s="196"/>
      <c r="J197" s="190"/>
      <c r="K197" s="196"/>
      <c r="L197" s="189"/>
      <c r="M197" s="183"/>
      <c r="N197" s="37"/>
      <c r="O197" s="32"/>
      <c r="P197" s="32"/>
      <c r="Q197" s="32"/>
      <c r="R197" s="32"/>
      <c r="S197" s="32"/>
      <c r="T197" s="32"/>
      <c r="U197" s="32"/>
      <c r="V197" s="32"/>
      <c r="W197" s="32"/>
      <c r="X197" s="32"/>
      <c r="Y197" s="32"/>
      <c r="Z197" s="32"/>
      <c r="AA197" s="32"/>
      <c r="AB197" s="32"/>
    </row>
    <row r="198" spans="2:28" ht="25.5" x14ac:dyDescent="0.2">
      <c r="B198" s="189" t="s">
        <v>1069</v>
      </c>
      <c r="C198" s="190"/>
      <c r="D198" s="189"/>
      <c r="E198" s="189"/>
      <c r="F198" s="189"/>
      <c r="G198" s="195"/>
      <c r="H198" s="173" t="s">
        <v>101</v>
      </c>
      <c r="I198" s="196"/>
      <c r="J198" s="190"/>
      <c r="K198" s="196"/>
      <c r="L198" s="189"/>
      <c r="M198" s="91">
        <f>+M199</f>
        <v>150000000</v>
      </c>
      <c r="N198" s="37"/>
      <c r="O198" s="32"/>
      <c r="P198" s="32"/>
      <c r="Q198" s="32"/>
      <c r="R198" s="32"/>
      <c r="S198" s="32"/>
      <c r="T198" s="32"/>
      <c r="U198" s="32"/>
      <c r="V198" s="32"/>
      <c r="W198" s="32"/>
      <c r="X198" s="32"/>
      <c r="Y198" s="32"/>
      <c r="Z198" s="32"/>
      <c r="AA198" s="32"/>
      <c r="AB198" s="32"/>
    </row>
    <row r="199" spans="2:28" x14ac:dyDescent="0.2">
      <c r="B199" s="189" t="s">
        <v>955</v>
      </c>
      <c r="C199" s="190"/>
      <c r="D199" s="189"/>
      <c r="E199" s="196"/>
      <c r="F199" s="189"/>
      <c r="G199" s="195"/>
      <c r="H199" s="173" t="s">
        <v>1495</v>
      </c>
      <c r="I199" s="196"/>
      <c r="J199" s="190"/>
      <c r="K199" s="196"/>
      <c r="L199" s="189"/>
      <c r="M199" s="91">
        <f>+M202</f>
        <v>150000000</v>
      </c>
      <c r="N199" s="37"/>
      <c r="O199" s="32"/>
      <c r="P199" s="32"/>
      <c r="Q199" s="32"/>
      <c r="R199" s="32"/>
      <c r="S199" s="32"/>
      <c r="T199" s="32"/>
      <c r="U199" s="32"/>
      <c r="V199" s="32"/>
      <c r="W199" s="32"/>
      <c r="X199" s="32"/>
      <c r="Y199" s="32"/>
      <c r="Z199" s="32"/>
      <c r="AA199" s="32"/>
      <c r="AB199" s="32"/>
    </row>
    <row r="200" spans="2:28" ht="38.25" x14ac:dyDescent="0.2">
      <c r="B200" s="189"/>
      <c r="C200" s="190"/>
      <c r="D200" s="189"/>
      <c r="E200" s="196">
        <v>287</v>
      </c>
      <c r="F200" s="189" t="s">
        <v>1080</v>
      </c>
      <c r="G200" s="195"/>
      <c r="H200" s="80" t="s">
        <v>1496</v>
      </c>
      <c r="I200" s="196">
        <v>44</v>
      </c>
      <c r="J200" s="190" t="s">
        <v>440</v>
      </c>
      <c r="K200" s="196">
        <v>15</v>
      </c>
      <c r="L200" s="189" t="s">
        <v>1176</v>
      </c>
      <c r="M200" s="183"/>
      <c r="N200" s="37"/>
      <c r="O200" s="32"/>
      <c r="P200" s="32"/>
      <c r="Q200" s="32"/>
      <c r="R200" s="32"/>
      <c r="S200" s="32"/>
      <c r="T200" s="32"/>
      <c r="U200" s="32"/>
      <c r="V200" s="32"/>
      <c r="W200" s="32"/>
      <c r="X200" s="32"/>
      <c r="Y200" s="32"/>
      <c r="Z200" s="32"/>
      <c r="AA200" s="32"/>
      <c r="AB200" s="32"/>
    </row>
    <row r="201" spans="2:28" ht="38.25" x14ac:dyDescent="0.2">
      <c r="B201" s="189"/>
      <c r="C201" s="190"/>
      <c r="D201" s="189"/>
      <c r="E201" s="196">
        <v>288</v>
      </c>
      <c r="F201" s="189" t="s">
        <v>1080</v>
      </c>
      <c r="G201" s="195"/>
      <c r="H201" s="80" t="s">
        <v>1497</v>
      </c>
      <c r="I201" s="196">
        <v>50</v>
      </c>
      <c r="J201" s="190" t="s">
        <v>1498</v>
      </c>
      <c r="K201" s="196">
        <v>20</v>
      </c>
      <c r="L201" s="189" t="s">
        <v>1176</v>
      </c>
      <c r="M201" s="183"/>
      <c r="N201" s="37"/>
      <c r="O201" s="32"/>
      <c r="P201" s="32"/>
      <c r="Q201" s="32"/>
      <c r="R201" s="32"/>
      <c r="S201" s="32"/>
      <c r="T201" s="32"/>
      <c r="U201" s="32"/>
      <c r="V201" s="32"/>
      <c r="W201" s="32"/>
      <c r="X201" s="32"/>
      <c r="Y201" s="32"/>
      <c r="Z201" s="32"/>
      <c r="AA201" s="32"/>
      <c r="AB201" s="32"/>
    </row>
    <row r="202" spans="2:28" ht="51" x14ac:dyDescent="0.2">
      <c r="B202" s="189"/>
      <c r="C202" s="190" t="s">
        <v>10</v>
      </c>
      <c r="D202" s="189"/>
      <c r="E202" s="189"/>
      <c r="F202" s="189"/>
      <c r="G202" s="195">
        <v>296105</v>
      </c>
      <c r="H202" s="80" t="s">
        <v>1491</v>
      </c>
      <c r="I202" s="196"/>
      <c r="J202" s="190"/>
      <c r="K202" s="196"/>
      <c r="L202" s="189"/>
      <c r="M202" s="183">
        <f>+M203</f>
        <v>150000000</v>
      </c>
      <c r="N202" s="37"/>
      <c r="O202" s="32"/>
      <c r="P202" s="32"/>
      <c r="Q202" s="32"/>
      <c r="R202" s="32"/>
      <c r="S202" s="32"/>
      <c r="T202" s="32"/>
      <c r="U202" s="32"/>
      <c r="V202" s="32"/>
      <c r="W202" s="32"/>
      <c r="X202" s="32"/>
      <c r="Y202" s="32"/>
      <c r="Z202" s="32"/>
      <c r="AA202" s="32"/>
      <c r="AB202" s="32"/>
    </row>
    <row r="203" spans="2:28" x14ac:dyDescent="0.2">
      <c r="B203" s="189"/>
      <c r="C203" s="190"/>
      <c r="D203" s="189"/>
      <c r="E203" s="196"/>
      <c r="F203" s="189"/>
      <c r="G203" s="195"/>
      <c r="H203" s="80" t="s">
        <v>1442</v>
      </c>
      <c r="I203" s="196"/>
      <c r="J203" s="190"/>
      <c r="K203" s="196"/>
      <c r="L203" s="189"/>
      <c r="M203" s="183">
        <f>150000000+150000000-150000000</f>
        <v>150000000</v>
      </c>
      <c r="N203" s="37"/>
      <c r="O203" s="32"/>
      <c r="P203" s="32"/>
      <c r="Q203" s="32"/>
      <c r="R203" s="32"/>
      <c r="S203" s="32"/>
      <c r="T203" s="32"/>
      <c r="U203" s="32"/>
      <c r="V203" s="32"/>
      <c r="W203" s="32"/>
      <c r="X203" s="32"/>
      <c r="Y203" s="32"/>
      <c r="Z203" s="32"/>
      <c r="AA203" s="32"/>
      <c r="AB203" s="32"/>
    </row>
    <row r="204" spans="2:28" x14ac:dyDescent="0.2">
      <c r="B204" s="189"/>
      <c r="C204" s="190"/>
      <c r="D204" s="189"/>
      <c r="E204" s="189"/>
      <c r="F204" s="189"/>
      <c r="G204" s="195"/>
      <c r="H204" s="80"/>
      <c r="I204" s="189"/>
      <c r="J204" s="190"/>
      <c r="K204" s="189"/>
      <c r="L204" s="189"/>
      <c r="M204" s="183"/>
      <c r="N204" s="37"/>
      <c r="O204" s="32"/>
      <c r="P204" s="32"/>
      <c r="Q204" s="32"/>
      <c r="R204" s="32"/>
      <c r="S204" s="32"/>
      <c r="T204" s="32"/>
      <c r="U204" s="32"/>
      <c r="V204" s="32"/>
      <c r="W204" s="32"/>
      <c r="X204" s="32"/>
      <c r="Y204" s="32"/>
      <c r="Z204" s="32"/>
      <c r="AA204" s="32"/>
      <c r="AB204" s="32"/>
    </row>
    <row r="205" spans="2:28" x14ac:dyDescent="0.2">
      <c r="B205" s="189" t="s">
        <v>1025</v>
      </c>
      <c r="C205" s="190"/>
      <c r="D205" s="189"/>
      <c r="E205" s="189"/>
      <c r="F205" s="189"/>
      <c r="G205" s="195"/>
      <c r="H205" s="173" t="s">
        <v>912</v>
      </c>
      <c r="I205" s="189"/>
      <c r="J205" s="190"/>
      <c r="K205" s="189"/>
      <c r="L205" s="189"/>
      <c r="M205" s="91">
        <f>+M206</f>
        <v>5150000000</v>
      </c>
      <c r="N205" s="37"/>
      <c r="O205" s="32"/>
      <c r="P205" s="32"/>
      <c r="Q205" s="32"/>
      <c r="R205" s="32"/>
      <c r="S205" s="32"/>
      <c r="T205" s="32"/>
      <c r="U205" s="32"/>
      <c r="V205" s="32"/>
      <c r="W205" s="32"/>
      <c r="X205" s="32"/>
      <c r="Y205" s="32"/>
      <c r="Z205" s="32"/>
      <c r="AA205" s="32"/>
      <c r="AB205" s="32"/>
    </row>
    <row r="206" spans="2:28" ht="25.5" x14ac:dyDescent="0.2">
      <c r="B206" s="189" t="s">
        <v>1069</v>
      </c>
      <c r="C206" s="190"/>
      <c r="D206" s="189"/>
      <c r="E206" s="189"/>
      <c r="F206" s="189"/>
      <c r="G206" s="195"/>
      <c r="H206" s="173" t="s">
        <v>1032</v>
      </c>
      <c r="I206" s="189"/>
      <c r="J206" s="190"/>
      <c r="K206" s="189"/>
      <c r="L206" s="189"/>
      <c r="M206" s="91">
        <f>+M208</f>
        <v>5150000000</v>
      </c>
      <c r="N206" s="37"/>
      <c r="O206" s="32"/>
      <c r="P206" s="32"/>
      <c r="Q206" s="32"/>
      <c r="R206" s="32"/>
      <c r="S206" s="32"/>
      <c r="T206" s="32"/>
      <c r="U206" s="32"/>
      <c r="V206" s="32"/>
      <c r="W206" s="32"/>
      <c r="X206" s="32"/>
      <c r="Y206" s="32"/>
      <c r="Z206" s="32"/>
      <c r="AA206" s="32"/>
      <c r="AB206" s="32"/>
    </row>
    <row r="207" spans="2:28" x14ac:dyDescent="0.2">
      <c r="B207" s="189"/>
      <c r="C207" s="190"/>
      <c r="D207" s="189"/>
      <c r="E207" s="196">
        <v>397</v>
      </c>
      <c r="F207" s="189" t="s">
        <v>268</v>
      </c>
      <c r="G207" s="195"/>
      <c r="H207" s="80" t="s">
        <v>216</v>
      </c>
      <c r="I207" s="196">
        <v>7</v>
      </c>
      <c r="J207" s="190" t="s">
        <v>964</v>
      </c>
      <c r="K207" s="196"/>
      <c r="L207" s="189" t="s">
        <v>841</v>
      </c>
      <c r="M207" s="194"/>
      <c r="N207" s="37"/>
      <c r="O207" s="32"/>
      <c r="P207" s="32"/>
      <c r="Q207" s="32"/>
      <c r="R207" s="32"/>
      <c r="S207" s="32"/>
      <c r="T207" s="32"/>
      <c r="U207" s="32"/>
      <c r="V207" s="32"/>
      <c r="W207" s="32"/>
      <c r="X207" s="32"/>
      <c r="Y207" s="32"/>
      <c r="Z207" s="32"/>
      <c r="AA207" s="32"/>
      <c r="AB207" s="32"/>
    </row>
    <row r="208" spans="2:28" x14ac:dyDescent="0.2">
      <c r="B208" s="189" t="s">
        <v>857</v>
      </c>
      <c r="C208" s="190"/>
      <c r="D208" s="189"/>
      <c r="E208" s="189"/>
      <c r="F208" s="189"/>
      <c r="G208" s="195"/>
      <c r="H208" s="173" t="s">
        <v>927</v>
      </c>
      <c r="I208" s="189"/>
      <c r="J208" s="190"/>
      <c r="K208" s="189"/>
      <c r="L208" s="189"/>
      <c r="M208" s="91">
        <f>+M212+M214+M217</f>
        <v>5150000000</v>
      </c>
      <c r="N208" s="37"/>
      <c r="O208" s="32"/>
      <c r="P208" s="32"/>
      <c r="Q208" s="32"/>
      <c r="R208" s="32"/>
      <c r="S208" s="32"/>
      <c r="T208" s="32"/>
      <c r="U208" s="32"/>
      <c r="V208" s="32"/>
      <c r="W208" s="32"/>
      <c r="X208" s="32"/>
      <c r="Y208" s="32"/>
      <c r="Z208" s="32"/>
      <c r="AA208" s="32"/>
      <c r="AB208" s="32"/>
    </row>
    <row r="209" spans="2:28" ht="38.25" x14ac:dyDescent="0.2">
      <c r="B209" s="189"/>
      <c r="C209" s="190"/>
      <c r="D209" s="189" t="s">
        <v>952</v>
      </c>
      <c r="E209" s="196">
        <v>407</v>
      </c>
      <c r="F209" s="189" t="s">
        <v>1080</v>
      </c>
      <c r="G209" s="195"/>
      <c r="H209" s="80" t="s">
        <v>937</v>
      </c>
      <c r="I209" s="196">
        <v>16</v>
      </c>
      <c r="J209" s="190" t="s">
        <v>502</v>
      </c>
      <c r="K209" s="196">
        <v>1</v>
      </c>
      <c r="L209" s="189" t="s">
        <v>422</v>
      </c>
      <c r="M209" s="194"/>
      <c r="N209" s="37"/>
      <c r="O209" s="32"/>
      <c r="P209" s="32"/>
      <c r="Q209" s="32"/>
      <c r="R209" s="32"/>
      <c r="S209" s="32"/>
      <c r="T209" s="32"/>
      <c r="U209" s="32"/>
      <c r="V209" s="32"/>
      <c r="W209" s="32"/>
      <c r="X209" s="32"/>
      <c r="Y209" s="32"/>
      <c r="Z209" s="32"/>
      <c r="AA209" s="32"/>
      <c r="AB209" s="32"/>
    </row>
    <row r="210" spans="2:28" ht="51" x14ac:dyDescent="0.2">
      <c r="B210" s="189"/>
      <c r="C210" s="190"/>
      <c r="D210" s="189" t="s">
        <v>1066</v>
      </c>
      <c r="E210" s="196">
        <v>405</v>
      </c>
      <c r="F210" s="189" t="s">
        <v>1080</v>
      </c>
      <c r="G210" s="195"/>
      <c r="H210" s="80" t="s">
        <v>537</v>
      </c>
      <c r="I210" s="196">
        <v>40</v>
      </c>
      <c r="J210" s="190" t="s">
        <v>765</v>
      </c>
      <c r="K210" s="196">
        <v>11</v>
      </c>
      <c r="L210" s="189" t="s">
        <v>114</v>
      </c>
      <c r="M210" s="194"/>
      <c r="N210" s="37"/>
      <c r="O210" s="32"/>
      <c r="P210" s="32"/>
      <c r="Q210" s="32"/>
      <c r="R210" s="32"/>
      <c r="S210" s="32"/>
      <c r="T210" s="32"/>
      <c r="U210" s="32"/>
      <c r="V210" s="32"/>
      <c r="W210" s="32"/>
      <c r="X210" s="32"/>
      <c r="Y210" s="32"/>
      <c r="Z210" s="32"/>
      <c r="AA210" s="32"/>
      <c r="AB210" s="32"/>
    </row>
    <row r="211" spans="2:28" ht="38.25" x14ac:dyDescent="0.2">
      <c r="B211" s="189"/>
      <c r="C211" s="190"/>
      <c r="D211" s="189" t="s">
        <v>1066</v>
      </c>
      <c r="E211" s="196">
        <v>406</v>
      </c>
      <c r="F211" s="189" t="s">
        <v>1080</v>
      </c>
      <c r="G211" s="195"/>
      <c r="H211" s="80" t="s">
        <v>511</v>
      </c>
      <c r="I211" s="196">
        <v>100</v>
      </c>
      <c r="J211" s="190" t="s">
        <v>805</v>
      </c>
      <c r="K211" s="196">
        <v>100</v>
      </c>
      <c r="L211" s="189" t="s">
        <v>1165</v>
      </c>
      <c r="M211" s="194"/>
      <c r="N211" s="37"/>
      <c r="O211" s="32"/>
      <c r="P211" s="32"/>
      <c r="Q211" s="32"/>
      <c r="R211" s="32"/>
      <c r="S211" s="32"/>
      <c r="T211" s="32"/>
      <c r="U211" s="32"/>
      <c r="V211" s="32"/>
      <c r="W211" s="32"/>
      <c r="X211" s="32"/>
      <c r="Y211" s="32"/>
      <c r="Z211" s="32"/>
      <c r="AA211" s="32"/>
      <c r="AB211" s="32"/>
    </row>
    <row r="212" spans="2:28" ht="76.5" x14ac:dyDescent="0.2">
      <c r="B212" s="189"/>
      <c r="C212" s="190" t="s">
        <v>1275</v>
      </c>
      <c r="D212" s="189"/>
      <c r="E212" s="189"/>
      <c r="F212" s="189"/>
      <c r="G212" s="195">
        <v>296001</v>
      </c>
      <c r="H212" s="80" t="s">
        <v>1238</v>
      </c>
      <c r="I212" s="189"/>
      <c r="J212" s="190"/>
      <c r="K212" s="189"/>
      <c r="L212" s="189"/>
      <c r="M212" s="183">
        <f>+M213</f>
        <v>250710000</v>
      </c>
      <c r="N212" s="37"/>
      <c r="O212" s="32"/>
      <c r="P212" s="32"/>
      <c r="Q212" s="32"/>
      <c r="R212" s="32"/>
      <c r="S212" s="32"/>
      <c r="T212" s="32"/>
      <c r="U212" s="32"/>
      <c r="V212" s="32"/>
      <c r="W212" s="32"/>
      <c r="X212" s="32"/>
      <c r="Y212" s="32"/>
      <c r="Z212" s="32"/>
      <c r="AA212" s="32"/>
      <c r="AB212" s="32"/>
    </row>
    <row r="213" spans="2:28" x14ac:dyDescent="0.2">
      <c r="B213" s="189"/>
      <c r="C213" s="190"/>
      <c r="D213" s="189"/>
      <c r="E213" s="189"/>
      <c r="F213" s="189"/>
      <c r="G213" s="195"/>
      <c r="H213" s="80" t="s">
        <v>835</v>
      </c>
      <c r="I213" s="189"/>
      <c r="J213" s="190"/>
      <c r="K213" s="189"/>
      <c r="L213" s="189"/>
      <c r="M213" s="183">
        <f>61260000+189450000</f>
        <v>250710000</v>
      </c>
      <c r="N213" s="37"/>
      <c r="O213" s="32"/>
      <c r="P213" s="32"/>
      <c r="Q213" s="32"/>
      <c r="R213" s="32"/>
      <c r="S213" s="32"/>
      <c r="T213" s="32"/>
      <c r="U213" s="32"/>
      <c r="V213" s="32"/>
      <c r="W213" s="32"/>
      <c r="X213" s="32"/>
      <c r="Y213" s="32"/>
      <c r="Z213" s="32"/>
      <c r="AA213" s="32"/>
      <c r="AB213" s="32"/>
    </row>
    <row r="214" spans="2:28" ht="38.25" x14ac:dyDescent="0.2">
      <c r="B214" s="189"/>
      <c r="C214" s="190" t="s">
        <v>10</v>
      </c>
      <c r="D214" s="189"/>
      <c r="E214" s="189"/>
      <c r="F214" s="189"/>
      <c r="G214" s="195">
        <v>296001</v>
      </c>
      <c r="H214" s="80" t="s">
        <v>1499</v>
      </c>
      <c r="I214" s="189"/>
      <c r="J214" s="190"/>
      <c r="K214" s="189"/>
      <c r="L214" s="189"/>
      <c r="M214" s="183">
        <f>+M215+M216</f>
        <v>4737483920</v>
      </c>
      <c r="N214" s="37"/>
      <c r="O214" s="32"/>
      <c r="P214" s="32"/>
      <c r="Q214" s="32"/>
      <c r="R214" s="32"/>
      <c r="S214" s="32"/>
      <c r="T214" s="32"/>
      <c r="U214" s="32"/>
      <c r="V214" s="32"/>
      <c r="W214" s="32"/>
      <c r="X214" s="32"/>
      <c r="Y214" s="32"/>
      <c r="Z214" s="32"/>
      <c r="AA214" s="32"/>
      <c r="AB214" s="32"/>
    </row>
    <row r="215" spans="2:28" x14ac:dyDescent="0.2">
      <c r="B215" s="189"/>
      <c r="C215" s="190"/>
      <c r="D215" s="189"/>
      <c r="E215" s="189"/>
      <c r="F215" s="189"/>
      <c r="G215" s="195"/>
      <c r="H215" s="80" t="s">
        <v>835</v>
      </c>
      <c r="I215" s="189"/>
      <c r="J215" s="190"/>
      <c r="K215" s="189"/>
      <c r="L215" s="189"/>
      <c r="M215" s="183">
        <f>100000000+349290000+100000000+200000000+500000000+300000000-900000000+50000000+100000000-161806080</f>
        <v>637483920</v>
      </c>
      <c r="N215" s="37"/>
      <c r="O215" s="32"/>
      <c r="P215" s="32"/>
      <c r="Q215" s="32"/>
      <c r="R215" s="32"/>
      <c r="S215" s="32"/>
      <c r="T215" s="32"/>
      <c r="U215" s="32"/>
      <c r="V215" s="32"/>
      <c r="W215" s="32"/>
      <c r="X215" s="32"/>
      <c r="Y215" s="32"/>
      <c r="Z215" s="32"/>
      <c r="AA215" s="32"/>
      <c r="AB215" s="32"/>
    </row>
    <row r="216" spans="2:28" x14ac:dyDescent="0.2">
      <c r="B216" s="189"/>
      <c r="C216" s="190"/>
      <c r="D216" s="189"/>
      <c r="E216" s="189"/>
      <c r="F216" s="189"/>
      <c r="G216" s="195"/>
      <c r="H216" s="80" t="s">
        <v>1158</v>
      </c>
      <c r="I216" s="189"/>
      <c r="J216" s="190"/>
      <c r="K216" s="189"/>
      <c r="L216" s="189"/>
      <c r="M216" s="183">
        <v>4100000000</v>
      </c>
      <c r="N216" s="37"/>
      <c r="O216" s="32"/>
      <c r="P216" s="32"/>
      <c r="Q216" s="32"/>
      <c r="R216" s="32"/>
      <c r="S216" s="32"/>
      <c r="T216" s="32"/>
      <c r="U216" s="32"/>
      <c r="V216" s="32"/>
      <c r="W216" s="32"/>
      <c r="X216" s="32"/>
      <c r="Y216" s="32"/>
      <c r="Z216" s="32"/>
      <c r="AA216" s="32"/>
      <c r="AB216" s="32"/>
    </row>
    <row r="217" spans="2:28" ht="51" x14ac:dyDescent="0.2">
      <c r="B217" s="189"/>
      <c r="C217" s="190" t="s">
        <v>10</v>
      </c>
      <c r="D217" s="189"/>
      <c r="E217" s="189"/>
      <c r="F217" s="189"/>
      <c r="G217" s="195">
        <v>296001</v>
      </c>
      <c r="H217" s="80" t="s">
        <v>1238</v>
      </c>
      <c r="I217" s="189"/>
      <c r="J217" s="190"/>
      <c r="K217" s="189"/>
      <c r="L217" s="189"/>
      <c r="M217" s="183">
        <f>+M218</f>
        <v>161806080</v>
      </c>
      <c r="N217" s="37"/>
      <c r="O217" s="32"/>
      <c r="P217" s="32"/>
      <c r="Q217" s="32"/>
      <c r="R217" s="32"/>
      <c r="S217" s="32"/>
      <c r="T217" s="32"/>
      <c r="U217" s="32"/>
      <c r="V217" s="32"/>
      <c r="W217" s="32"/>
      <c r="X217" s="32"/>
      <c r="Y217" s="32"/>
      <c r="Z217" s="32"/>
      <c r="AA217" s="32"/>
      <c r="AB217" s="32"/>
    </row>
    <row r="218" spans="2:28" x14ac:dyDescent="0.2">
      <c r="B218" s="189"/>
      <c r="C218" s="190"/>
      <c r="D218" s="189"/>
      <c r="E218" s="189"/>
      <c r="F218" s="189"/>
      <c r="G218" s="195"/>
      <c r="H218" s="80" t="s">
        <v>835</v>
      </c>
      <c r="I218" s="189"/>
      <c r="J218" s="190"/>
      <c r="K218" s="189"/>
      <c r="L218" s="189"/>
      <c r="M218" s="183">
        <v>161806080</v>
      </c>
      <c r="N218" s="37"/>
      <c r="O218" s="32"/>
      <c r="P218" s="32"/>
      <c r="Q218" s="32"/>
      <c r="R218" s="32"/>
      <c r="S218" s="32"/>
      <c r="T218" s="32"/>
      <c r="U218" s="32"/>
      <c r="V218" s="32"/>
      <c r="W218" s="32"/>
      <c r="X218" s="32"/>
      <c r="Y218" s="32"/>
      <c r="Z218" s="32"/>
      <c r="AA218" s="32"/>
      <c r="AB218" s="32"/>
    </row>
    <row r="219" spans="2:28" x14ac:dyDescent="0.2">
      <c r="B219" s="189"/>
      <c r="C219" s="190"/>
      <c r="D219" s="189"/>
      <c r="E219" s="189"/>
      <c r="F219" s="189"/>
      <c r="G219" s="195"/>
      <c r="H219" s="80"/>
      <c r="I219" s="189"/>
      <c r="J219" s="190"/>
      <c r="K219" s="189"/>
      <c r="L219" s="189"/>
      <c r="M219" s="183"/>
      <c r="N219" s="37"/>
      <c r="O219" s="32"/>
      <c r="P219" s="32"/>
      <c r="Q219" s="32"/>
      <c r="R219" s="32"/>
      <c r="S219" s="32"/>
      <c r="T219" s="32"/>
      <c r="U219" s="32"/>
      <c r="V219" s="32"/>
      <c r="W219" s="32"/>
      <c r="X219" s="32"/>
      <c r="Y219" s="32"/>
      <c r="Z219" s="32"/>
      <c r="AA219" s="32"/>
      <c r="AB219" s="32"/>
    </row>
    <row r="220" spans="2:28" ht="25.5" x14ac:dyDescent="0.2">
      <c r="B220" s="189" t="s">
        <v>422</v>
      </c>
      <c r="C220" s="190"/>
      <c r="D220" s="189"/>
      <c r="E220" s="189"/>
      <c r="F220" s="189"/>
      <c r="G220" s="195"/>
      <c r="H220" s="173" t="s">
        <v>381</v>
      </c>
      <c r="I220" s="189"/>
      <c r="J220" s="190"/>
      <c r="K220" s="189"/>
      <c r="L220" s="189"/>
      <c r="M220" s="91">
        <f>+M221</f>
        <v>2305100000</v>
      </c>
      <c r="N220" s="37"/>
      <c r="O220" s="32"/>
      <c r="P220" s="32"/>
      <c r="Q220" s="32"/>
      <c r="R220" s="32"/>
      <c r="S220" s="32"/>
      <c r="T220" s="32"/>
      <c r="U220" s="32"/>
      <c r="V220" s="32"/>
      <c r="W220" s="32"/>
      <c r="X220" s="32"/>
      <c r="Y220" s="32"/>
      <c r="Z220" s="32"/>
      <c r="AA220" s="32"/>
      <c r="AB220" s="32"/>
    </row>
    <row r="221" spans="2:28" ht="25.5" x14ac:dyDescent="0.2">
      <c r="B221" s="189" t="s">
        <v>885</v>
      </c>
      <c r="C221" s="190"/>
      <c r="D221" s="189"/>
      <c r="E221" s="189"/>
      <c r="F221" s="189"/>
      <c r="G221" s="195"/>
      <c r="H221" s="173" t="s">
        <v>638</v>
      </c>
      <c r="I221" s="189"/>
      <c r="J221" s="190"/>
      <c r="K221" s="189"/>
      <c r="L221" s="189"/>
      <c r="M221" s="91">
        <f>+M223</f>
        <v>2305100000</v>
      </c>
      <c r="N221" s="37"/>
      <c r="O221" s="32"/>
      <c r="P221" s="32"/>
      <c r="Q221" s="32"/>
      <c r="R221" s="32"/>
      <c r="S221" s="32"/>
      <c r="T221" s="32"/>
      <c r="U221" s="32"/>
      <c r="V221" s="32"/>
      <c r="W221" s="32"/>
      <c r="X221" s="32"/>
      <c r="Y221" s="32"/>
      <c r="Z221" s="32"/>
      <c r="AA221" s="32"/>
      <c r="AB221" s="32"/>
    </row>
    <row r="222" spans="2:28" ht="25.5" x14ac:dyDescent="0.2">
      <c r="B222" s="189"/>
      <c r="C222" s="190"/>
      <c r="D222" s="189"/>
      <c r="E222" s="196">
        <v>468</v>
      </c>
      <c r="F222" s="189" t="s">
        <v>268</v>
      </c>
      <c r="G222" s="195"/>
      <c r="H222" s="80" t="s">
        <v>985</v>
      </c>
      <c r="I222" s="196">
        <v>1</v>
      </c>
      <c r="J222" s="190" t="s">
        <v>696</v>
      </c>
      <c r="K222" s="196"/>
      <c r="L222" s="189"/>
      <c r="M222" s="194"/>
      <c r="N222" s="37"/>
      <c r="O222" s="32"/>
      <c r="P222" s="32"/>
      <c r="Q222" s="32"/>
      <c r="R222" s="32"/>
      <c r="S222" s="32"/>
      <c r="T222" s="32"/>
      <c r="U222" s="32"/>
      <c r="V222" s="32"/>
      <c r="W222" s="32"/>
      <c r="X222" s="32"/>
      <c r="Y222" s="32"/>
      <c r="Z222" s="32"/>
      <c r="AA222" s="32"/>
      <c r="AB222" s="32"/>
    </row>
    <row r="223" spans="2:28" x14ac:dyDescent="0.2">
      <c r="B223" s="189" t="s">
        <v>857</v>
      </c>
      <c r="C223" s="190"/>
      <c r="D223" s="189"/>
      <c r="E223" s="189"/>
      <c r="F223" s="189"/>
      <c r="G223" s="195"/>
      <c r="H223" s="173" t="s">
        <v>336</v>
      </c>
      <c r="I223" s="189"/>
      <c r="J223" s="190"/>
      <c r="K223" s="189"/>
      <c r="L223" s="189"/>
      <c r="M223" s="91">
        <f>+M225+M227</f>
        <v>2305100000</v>
      </c>
      <c r="N223" s="37"/>
      <c r="O223" s="32"/>
      <c r="P223" s="32"/>
      <c r="Q223" s="32"/>
      <c r="R223" s="32"/>
      <c r="S223" s="32"/>
      <c r="T223" s="32"/>
      <c r="U223" s="32"/>
      <c r="V223" s="32"/>
      <c r="W223" s="32"/>
      <c r="X223" s="32"/>
      <c r="Y223" s="32"/>
      <c r="Z223" s="32"/>
      <c r="AA223" s="32"/>
      <c r="AB223" s="32"/>
    </row>
    <row r="224" spans="2:28" ht="51" x14ac:dyDescent="0.2">
      <c r="B224" s="189"/>
      <c r="C224" s="190"/>
      <c r="D224" s="189" t="s">
        <v>1090</v>
      </c>
      <c r="E224" s="196">
        <v>476</v>
      </c>
      <c r="F224" s="189" t="s">
        <v>1080</v>
      </c>
      <c r="G224" s="195"/>
      <c r="H224" s="80" t="s">
        <v>103</v>
      </c>
      <c r="I224" s="196">
        <v>2</v>
      </c>
      <c r="J224" s="190" t="s">
        <v>195</v>
      </c>
      <c r="K224" s="196">
        <v>1</v>
      </c>
      <c r="L224" s="189" t="s">
        <v>301</v>
      </c>
      <c r="M224" s="194"/>
      <c r="N224" s="37"/>
      <c r="O224" s="32"/>
      <c r="P224" s="32"/>
      <c r="Q224" s="32"/>
      <c r="R224" s="32"/>
      <c r="S224" s="32"/>
      <c r="T224" s="32"/>
      <c r="U224" s="32"/>
      <c r="V224" s="32"/>
      <c r="W224" s="32"/>
      <c r="X224" s="32"/>
      <c r="Y224" s="32"/>
      <c r="Z224" s="32"/>
      <c r="AA224" s="32"/>
      <c r="AB224" s="32"/>
    </row>
    <row r="225" spans="2:28" ht="25.5" x14ac:dyDescent="0.2">
      <c r="B225" s="189"/>
      <c r="C225" s="190" t="s">
        <v>10</v>
      </c>
      <c r="D225" s="189"/>
      <c r="E225" s="189"/>
      <c r="F225" s="189"/>
      <c r="G225" s="195">
        <v>296098</v>
      </c>
      <c r="H225" s="80" t="s">
        <v>38</v>
      </c>
      <c r="I225" s="189"/>
      <c r="J225" s="190"/>
      <c r="K225" s="189"/>
      <c r="L225" s="189"/>
      <c r="M225" s="183">
        <f>+M226</f>
        <v>1905100000</v>
      </c>
      <c r="N225" s="37"/>
      <c r="O225" s="32"/>
      <c r="P225" s="32"/>
      <c r="Q225" s="32"/>
      <c r="R225" s="32"/>
      <c r="S225" s="32"/>
      <c r="T225" s="32"/>
      <c r="U225" s="32"/>
      <c r="V225" s="32"/>
      <c r="W225" s="32"/>
      <c r="X225" s="32"/>
      <c r="Y225" s="32"/>
      <c r="Z225" s="32"/>
      <c r="AA225" s="32"/>
      <c r="AB225" s="32"/>
    </row>
    <row r="226" spans="2:28" x14ac:dyDescent="0.2">
      <c r="B226" s="189"/>
      <c r="C226" s="190"/>
      <c r="D226" s="189"/>
      <c r="E226" s="189"/>
      <c r="F226" s="189"/>
      <c r="G226" s="195"/>
      <c r="H226" s="80" t="s">
        <v>1158</v>
      </c>
      <c r="I226" s="189"/>
      <c r="J226" s="190"/>
      <c r="K226" s="189"/>
      <c r="L226" s="189"/>
      <c r="M226" s="183">
        <v>1905100000</v>
      </c>
      <c r="N226" s="37"/>
      <c r="O226" s="32"/>
      <c r="P226" s="32"/>
      <c r="Q226" s="32"/>
      <c r="R226" s="32"/>
      <c r="S226" s="32"/>
      <c r="T226" s="32"/>
      <c r="U226" s="32"/>
      <c r="V226" s="32"/>
      <c r="W226" s="32"/>
      <c r="X226" s="32"/>
      <c r="Y226" s="32"/>
      <c r="Z226" s="32"/>
      <c r="AA226" s="32"/>
      <c r="AB226" s="32"/>
    </row>
    <row r="227" spans="2:28" ht="25.5" x14ac:dyDescent="0.2">
      <c r="B227" s="189"/>
      <c r="C227" s="190" t="s">
        <v>10</v>
      </c>
      <c r="D227" s="189"/>
      <c r="E227" s="189"/>
      <c r="F227" s="189"/>
      <c r="G227" s="195">
        <v>296133</v>
      </c>
      <c r="H227" s="80" t="s">
        <v>1500</v>
      </c>
      <c r="I227" s="189"/>
      <c r="J227" s="190"/>
      <c r="K227" s="189"/>
      <c r="L227" s="189"/>
      <c r="M227" s="183">
        <f>+M228</f>
        <v>400000000</v>
      </c>
      <c r="N227" s="37"/>
      <c r="O227" s="32"/>
      <c r="P227" s="32"/>
      <c r="Q227" s="32"/>
      <c r="R227" s="32"/>
      <c r="S227" s="32"/>
      <c r="T227" s="32"/>
      <c r="U227" s="32"/>
      <c r="V227" s="32"/>
      <c r="W227" s="32"/>
      <c r="X227" s="32"/>
      <c r="Y227" s="32"/>
      <c r="Z227" s="32"/>
      <c r="AA227" s="32"/>
      <c r="AB227" s="32"/>
    </row>
    <row r="228" spans="2:28" x14ac:dyDescent="0.2">
      <c r="B228" s="189"/>
      <c r="C228" s="190"/>
      <c r="D228" s="189"/>
      <c r="E228" s="189"/>
      <c r="F228" s="189"/>
      <c r="G228" s="195"/>
      <c r="H228" s="80" t="s">
        <v>835</v>
      </c>
      <c r="I228" s="189"/>
      <c r="J228" s="190"/>
      <c r="K228" s="189"/>
      <c r="L228" s="189"/>
      <c r="M228" s="183">
        <f>424153162-200000000+175846838</f>
        <v>400000000</v>
      </c>
      <c r="N228" s="37"/>
      <c r="O228" s="32"/>
      <c r="P228" s="32"/>
      <c r="Q228" s="32"/>
      <c r="R228" s="32"/>
      <c r="S228" s="32"/>
      <c r="T228" s="32"/>
      <c r="U228" s="32"/>
      <c r="V228" s="32"/>
      <c r="W228" s="32"/>
      <c r="X228" s="32"/>
      <c r="Y228" s="32"/>
      <c r="Z228" s="32"/>
      <c r="AA228" s="32"/>
      <c r="AB228" s="32"/>
    </row>
    <row r="229" spans="2:28" x14ac:dyDescent="0.2">
      <c r="B229" s="189"/>
      <c r="C229" s="190"/>
      <c r="D229" s="189"/>
      <c r="E229" s="189"/>
      <c r="F229" s="189"/>
      <c r="G229" s="195"/>
      <c r="H229" s="80"/>
      <c r="I229" s="189"/>
      <c r="J229" s="190"/>
      <c r="K229" s="189"/>
      <c r="L229" s="189"/>
      <c r="M229" s="183"/>
      <c r="N229" s="37"/>
      <c r="O229" s="32"/>
      <c r="P229" s="32"/>
      <c r="Q229" s="32"/>
      <c r="R229" s="32"/>
      <c r="S229" s="32"/>
      <c r="T229" s="32"/>
      <c r="U229" s="32"/>
      <c r="V229" s="32"/>
      <c r="W229" s="32"/>
      <c r="X229" s="32"/>
      <c r="Y229" s="32"/>
      <c r="Z229" s="32"/>
      <c r="AA229" s="32"/>
      <c r="AB229" s="32"/>
    </row>
    <row r="230" spans="2:28" ht="25.5" x14ac:dyDescent="0.2">
      <c r="B230" s="189" t="s">
        <v>841</v>
      </c>
      <c r="C230" s="190"/>
      <c r="D230" s="189"/>
      <c r="E230" s="189"/>
      <c r="F230" s="189"/>
      <c r="G230" s="195"/>
      <c r="H230" s="173" t="s">
        <v>1136</v>
      </c>
      <c r="I230" s="189"/>
      <c r="J230" s="190"/>
      <c r="K230" s="189"/>
      <c r="L230" s="189"/>
      <c r="M230" s="91">
        <f>+M231+M286+M295</f>
        <v>104485953307</v>
      </c>
      <c r="N230" s="37"/>
      <c r="O230" s="32"/>
      <c r="P230" s="32"/>
      <c r="Q230" s="32"/>
      <c r="R230" s="32"/>
      <c r="S230" s="32"/>
      <c r="T230" s="32"/>
      <c r="U230" s="32"/>
      <c r="V230" s="32"/>
      <c r="W230" s="32"/>
      <c r="X230" s="32"/>
      <c r="Y230" s="32"/>
      <c r="Z230" s="32"/>
      <c r="AA230" s="32"/>
      <c r="AB230" s="32"/>
    </row>
    <row r="231" spans="2:28" x14ac:dyDescent="0.2">
      <c r="B231" s="189" t="s">
        <v>497</v>
      </c>
      <c r="C231" s="190"/>
      <c r="D231" s="189"/>
      <c r="E231" s="189"/>
      <c r="F231" s="189"/>
      <c r="G231" s="195"/>
      <c r="H231" s="173" t="s">
        <v>355</v>
      </c>
      <c r="I231" s="189"/>
      <c r="J231" s="190"/>
      <c r="K231" s="189"/>
      <c r="L231" s="189"/>
      <c r="M231" s="91">
        <f>+M238</f>
        <v>96803672307</v>
      </c>
      <c r="N231" s="37"/>
      <c r="O231" s="32"/>
      <c r="P231" s="32"/>
      <c r="Q231" s="32"/>
      <c r="R231" s="32"/>
      <c r="S231" s="32"/>
      <c r="T231" s="32"/>
      <c r="U231" s="32"/>
      <c r="V231" s="32"/>
      <c r="W231" s="32"/>
      <c r="X231" s="32"/>
      <c r="Y231" s="32"/>
      <c r="Z231" s="32"/>
      <c r="AA231" s="32"/>
      <c r="AB231" s="32"/>
    </row>
    <row r="232" spans="2:28" x14ac:dyDescent="0.2">
      <c r="B232" s="189"/>
      <c r="C232" s="190"/>
      <c r="D232" s="189"/>
      <c r="E232" s="196">
        <v>612</v>
      </c>
      <c r="F232" s="189" t="s">
        <v>268</v>
      </c>
      <c r="G232" s="195"/>
      <c r="H232" s="80" t="s">
        <v>100</v>
      </c>
      <c r="I232" s="196">
        <v>2</v>
      </c>
      <c r="J232" s="190" t="s">
        <v>1001</v>
      </c>
      <c r="K232" s="196"/>
      <c r="L232" s="189" t="s">
        <v>1118</v>
      </c>
      <c r="M232" s="91"/>
      <c r="N232" s="37"/>
      <c r="O232" s="32"/>
      <c r="P232" s="32"/>
      <c r="Q232" s="32"/>
      <c r="R232" s="32"/>
      <c r="S232" s="32"/>
      <c r="T232" s="32"/>
      <c r="U232" s="32"/>
      <c r="V232" s="32"/>
      <c r="W232" s="32"/>
      <c r="X232" s="32"/>
      <c r="Y232" s="32"/>
      <c r="Z232" s="32"/>
      <c r="AA232" s="32"/>
      <c r="AB232" s="32"/>
    </row>
    <row r="233" spans="2:28" ht="25.5" x14ac:dyDescent="0.2">
      <c r="B233" s="189"/>
      <c r="C233" s="190"/>
      <c r="D233" s="189"/>
      <c r="E233" s="196">
        <v>613</v>
      </c>
      <c r="F233" s="189" t="s">
        <v>268</v>
      </c>
      <c r="G233" s="195"/>
      <c r="H233" s="80" t="s">
        <v>613</v>
      </c>
      <c r="I233" s="196">
        <v>15</v>
      </c>
      <c r="J233" s="190" t="s">
        <v>440</v>
      </c>
      <c r="K233" s="196"/>
      <c r="L233" s="189" t="s">
        <v>1137</v>
      </c>
      <c r="M233" s="91"/>
      <c r="N233" s="37"/>
      <c r="O233" s="32"/>
      <c r="P233" s="32"/>
      <c r="Q233" s="32"/>
      <c r="R233" s="32"/>
      <c r="S233" s="32"/>
      <c r="T233" s="32"/>
      <c r="U233" s="32"/>
      <c r="V233" s="32"/>
      <c r="W233" s="32"/>
      <c r="X233" s="32"/>
      <c r="Y233" s="32"/>
      <c r="Z233" s="32"/>
      <c r="AA233" s="32"/>
      <c r="AB233" s="32"/>
    </row>
    <row r="234" spans="2:28" ht="25.5" x14ac:dyDescent="0.2">
      <c r="B234" s="189"/>
      <c r="C234" s="190"/>
      <c r="D234" s="189"/>
      <c r="E234" s="196">
        <v>614</v>
      </c>
      <c r="F234" s="189" t="s">
        <v>268</v>
      </c>
      <c r="G234" s="195"/>
      <c r="H234" s="80" t="s">
        <v>313</v>
      </c>
      <c r="I234" s="196">
        <v>1</v>
      </c>
      <c r="J234" s="190" t="s">
        <v>1046</v>
      </c>
      <c r="K234" s="196"/>
      <c r="L234" s="189" t="s">
        <v>1182</v>
      </c>
      <c r="M234" s="91"/>
      <c r="N234" s="37"/>
      <c r="O234" s="32"/>
      <c r="P234" s="32"/>
      <c r="Q234" s="32"/>
      <c r="R234" s="32"/>
      <c r="S234" s="32"/>
      <c r="T234" s="32"/>
      <c r="U234" s="32"/>
      <c r="V234" s="32"/>
      <c r="W234" s="32"/>
      <c r="X234" s="32"/>
      <c r="Y234" s="32"/>
      <c r="Z234" s="32"/>
      <c r="AA234" s="32"/>
      <c r="AB234" s="32"/>
    </row>
    <row r="235" spans="2:28" ht="25.5" x14ac:dyDescent="0.2">
      <c r="B235" s="189"/>
      <c r="C235" s="190"/>
      <c r="D235" s="189"/>
      <c r="E235" s="196">
        <v>615</v>
      </c>
      <c r="F235" s="189" t="s">
        <v>268</v>
      </c>
      <c r="G235" s="195"/>
      <c r="H235" s="80" t="s">
        <v>148</v>
      </c>
      <c r="I235" s="196">
        <v>1</v>
      </c>
      <c r="J235" s="190" t="s">
        <v>1001</v>
      </c>
      <c r="K235" s="196"/>
      <c r="L235" s="189"/>
      <c r="M235" s="91"/>
      <c r="N235" s="37"/>
      <c r="O235" s="32"/>
      <c r="P235" s="32"/>
      <c r="Q235" s="32"/>
      <c r="R235" s="32"/>
      <c r="S235" s="32"/>
      <c r="T235" s="32"/>
      <c r="U235" s="32"/>
      <c r="V235" s="32"/>
      <c r="W235" s="32"/>
      <c r="X235" s="32"/>
      <c r="Y235" s="32"/>
      <c r="Z235" s="32"/>
      <c r="AA235" s="32"/>
      <c r="AB235" s="32"/>
    </row>
    <row r="236" spans="2:28" ht="51" x14ac:dyDescent="0.2">
      <c r="B236" s="189"/>
      <c r="C236" s="190"/>
      <c r="D236" s="189"/>
      <c r="E236" s="196">
        <v>619</v>
      </c>
      <c r="F236" s="189" t="s">
        <v>268</v>
      </c>
      <c r="G236" s="195"/>
      <c r="H236" s="80" t="s">
        <v>1079</v>
      </c>
      <c r="I236" s="196">
        <v>4993</v>
      </c>
      <c r="J236" s="190" t="s">
        <v>193</v>
      </c>
      <c r="K236" s="196"/>
      <c r="L236" s="189"/>
      <c r="M236" s="194"/>
      <c r="N236" s="37"/>
      <c r="O236" s="32"/>
      <c r="P236" s="32"/>
      <c r="Q236" s="32"/>
      <c r="R236" s="32"/>
      <c r="S236" s="32"/>
      <c r="T236" s="32"/>
      <c r="U236" s="32"/>
      <c r="V236" s="32"/>
      <c r="W236" s="32"/>
      <c r="X236" s="32"/>
      <c r="Y236" s="32"/>
      <c r="Z236" s="32"/>
      <c r="AA236" s="32"/>
      <c r="AB236" s="32"/>
    </row>
    <row r="237" spans="2:28" x14ac:dyDescent="0.2">
      <c r="B237" s="189"/>
      <c r="C237" s="190"/>
      <c r="D237" s="189"/>
      <c r="E237" s="175"/>
      <c r="F237" s="175"/>
      <c r="G237" s="175"/>
      <c r="H237" s="175"/>
      <c r="I237" s="175"/>
      <c r="J237" s="175"/>
      <c r="K237" s="175"/>
      <c r="L237" s="175"/>
      <c r="M237" s="194"/>
      <c r="N237" s="37"/>
      <c r="O237" s="32"/>
      <c r="P237" s="32"/>
      <c r="Q237" s="32"/>
      <c r="R237" s="32"/>
      <c r="S237" s="32"/>
      <c r="T237" s="32"/>
      <c r="U237" s="32"/>
      <c r="V237" s="32"/>
      <c r="W237" s="32"/>
      <c r="X237" s="32"/>
      <c r="Y237" s="32"/>
      <c r="Z237" s="32"/>
      <c r="AA237" s="32"/>
      <c r="AB237" s="32"/>
    </row>
    <row r="238" spans="2:28" x14ac:dyDescent="0.2">
      <c r="B238" s="189" t="s">
        <v>857</v>
      </c>
      <c r="C238" s="190"/>
      <c r="D238" s="189"/>
      <c r="E238" s="189"/>
      <c r="F238" s="189"/>
      <c r="G238" s="195"/>
      <c r="H238" s="173" t="s">
        <v>463</v>
      </c>
      <c r="I238" s="189"/>
      <c r="J238" s="190"/>
      <c r="K238" s="189"/>
      <c r="L238" s="189"/>
      <c r="M238" s="91">
        <f>+M244+M248+M252+M256+M261+M267+M271+M275+M280+M282+M263+M273+M269+M246+M254+M250+M277+M259</f>
        <v>96803672307</v>
      </c>
      <c r="N238" s="37"/>
      <c r="O238" s="32"/>
      <c r="P238" s="32"/>
      <c r="Q238" s="32"/>
      <c r="R238" s="32"/>
      <c r="S238" s="32"/>
      <c r="T238" s="32"/>
      <c r="U238" s="32"/>
      <c r="V238" s="32"/>
      <c r="W238" s="32"/>
      <c r="X238" s="32"/>
      <c r="Y238" s="32"/>
      <c r="Z238" s="32"/>
      <c r="AA238" s="32"/>
      <c r="AB238" s="32"/>
    </row>
    <row r="239" spans="2:28" ht="25.5" x14ac:dyDescent="0.2">
      <c r="B239" s="189"/>
      <c r="C239" s="190"/>
      <c r="D239" s="189" t="s">
        <v>488</v>
      </c>
      <c r="E239" s="196">
        <v>520</v>
      </c>
      <c r="F239" s="189" t="s">
        <v>1080</v>
      </c>
      <c r="G239" s="195"/>
      <c r="H239" s="80" t="s">
        <v>732</v>
      </c>
      <c r="I239" s="196">
        <v>1</v>
      </c>
      <c r="J239" s="190" t="s">
        <v>358</v>
      </c>
      <c r="K239" s="189">
        <v>3.3000000000000002E-2</v>
      </c>
      <c r="L239" s="189" t="s">
        <v>1182</v>
      </c>
      <c r="M239" s="91"/>
      <c r="N239" s="37"/>
      <c r="O239" s="32"/>
      <c r="P239" s="32"/>
      <c r="Q239" s="32"/>
      <c r="R239" s="32"/>
      <c r="S239" s="32"/>
      <c r="T239" s="32"/>
      <c r="U239" s="32"/>
      <c r="V239" s="32"/>
      <c r="W239" s="32"/>
      <c r="X239" s="32"/>
      <c r="Y239" s="32"/>
      <c r="Z239" s="32"/>
      <c r="AA239" s="32"/>
      <c r="AB239" s="32"/>
    </row>
    <row r="240" spans="2:28" x14ac:dyDescent="0.2">
      <c r="B240" s="189"/>
      <c r="C240" s="190"/>
      <c r="D240" s="189" t="s">
        <v>632</v>
      </c>
      <c r="E240" s="196">
        <v>527</v>
      </c>
      <c r="F240" s="189" t="s">
        <v>1080</v>
      </c>
      <c r="G240" s="195"/>
      <c r="H240" s="80" t="s">
        <v>1075</v>
      </c>
      <c r="I240" s="196">
        <v>8</v>
      </c>
      <c r="J240" s="190" t="s">
        <v>765</v>
      </c>
      <c r="K240" s="196">
        <v>6</v>
      </c>
      <c r="L240" s="189" t="s">
        <v>422</v>
      </c>
      <c r="M240" s="91"/>
      <c r="N240" s="37"/>
      <c r="O240" s="32"/>
      <c r="P240" s="32"/>
      <c r="Q240" s="32"/>
      <c r="R240" s="32"/>
      <c r="S240" s="32"/>
      <c r="T240" s="32"/>
      <c r="U240" s="32"/>
      <c r="V240" s="32"/>
      <c r="W240" s="32"/>
      <c r="X240" s="32"/>
      <c r="Y240" s="32"/>
      <c r="Z240" s="32"/>
      <c r="AA240" s="32"/>
      <c r="AB240" s="32"/>
    </row>
    <row r="241" spans="2:28" ht="25.5" x14ac:dyDescent="0.2">
      <c r="B241" s="189"/>
      <c r="C241" s="190"/>
      <c r="D241" s="189" t="s">
        <v>632</v>
      </c>
      <c r="E241" s="196">
        <v>528</v>
      </c>
      <c r="F241" s="189" t="s">
        <v>1080</v>
      </c>
      <c r="G241" s="195"/>
      <c r="H241" s="80" t="s">
        <v>431</v>
      </c>
      <c r="I241" s="196">
        <v>38</v>
      </c>
      <c r="J241" s="190" t="s">
        <v>440</v>
      </c>
      <c r="K241" s="196">
        <v>77</v>
      </c>
      <c r="L241" s="189" t="s">
        <v>1195</v>
      </c>
      <c r="M241" s="91"/>
      <c r="N241" s="37"/>
      <c r="O241" s="32"/>
      <c r="P241" s="32"/>
      <c r="Q241" s="32"/>
      <c r="R241" s="32"/>
      <c r="S241" s="32"/>
      <c r="T241" s="32"/>
      <c r="U241" s="32"/>
      <c r="V241" s="32"/>
      <c r="W241" s="32"/>
      <c r="X241" s="32"/>
      <c r="Y241" s="32"/>
      <c r="Z241" s="32"/>
      <c r="AA241" s="32"/>
      <c r="AB241" s="32"/>
    </row>
    <row r="242" spans="2:28" ht="63.75" x14ac:dyDescent="0.2">
      <c r="B242" s="189"/>
      <c r="C242" s="190"/>
      <c r="D242" s="189" t="s">
        <v>236</v>
      </c>
      <c r="E242" s="196">
        <v>529</v>
      </c>
      <c r="F242" s="189" t="s">
        <v>1080</v>
      </c>
      <c r="G242" s="195"/>
      <c r="H242" s="176" t="s">
        <v>1053</v>
      </c>
      <c r="I242" s="196">
        <v>100</v>
      </c>
      <c r="J242" s="190" t="s">
        <v>179</v>
      </c>
      <c r="K242" s="196">
        <v>45</v>
      </c>
      <c r="L242" s="189" t="s">
        <v>1217</v>
      </c>
      <c r="M242" s="194"/>
      <c r="N242" s="37"/>
      <c r="O242" s="32"/>
      <c r="P242" s="32"/>
      <c r="Q242" s="32"/>
      <c r="R242" s="32"/>
      <c r="S242" s="32"/>
      <c r="T242" s="32"/>
      <c r="U242" s="32"/>
      <c r="V242" s="32"/>
      <c r="W242" s="32"/>
      <c r="X242" s="32"/>
      <c r="Y242" s="32"/>
      <c r="Z242" s="32"/>
      <c r="AA242" s="32"/>
      <c r="AB242" s="32"/>
    </row>
    <row r="243" spans="2:28" x14ac:dyDescent="0.2">
      <c r="B243" s="189"/>
      <c r="C243" s="190"/>
      <c r="D243" s="175"/>
      <c r="E243" s="175"/>
      <c r="F243" s="175"/>
      <c r="G243" s="175"/>
      <c r="H243" s="175"/>
      <c r="I243" s="175"/>
      <c r="J243" s="175"/>
      <c r="K243" s="175"/>
      <c r="L243" s="175"/>
      <c r="M243" s="194"/>
      <c r="N243" s="37"/>
      <c r="O243" s="32"/>
      <c r="P243" s="32"/>
      <c r="Q243" s="32"/>
      <c r="R243" s="32"/>
      <c r="S243" s="32"/>
      <c r="T243" s="32"/>
      <c r="U243" s="32"/>
      <c r="V243" s="32"/>
      <c r="W243" s="32"/>
      <c r="X243" s="32"/>
      <c r="Y243" s="32"/>
      <c r="Z243" s="32"/>
      <c r="AA243" s="32"/>
      <c r="AB243" s="32"/>
    </row>
    <row r="244" spans="2:28" ht="51" x14ac:dyDescent="0.2">
      <c r="B244" s="189"/>
      <c r="C244" s="190" t="s">
        <v>1159</v>
      </c>
      <c r="D244" s="189"/>
      <c r="E244" s="189"/>
      <c r="F244" s="189"/>
      <c r="G244" s="195">
        <v>296101</v>
      </c>
      <c r="H244" s="80" t="s">
        <v>1239</v>
      </c>
      <c r="I244" s="189"/>
      <c r="J244" s="190"/>
      <c r="K244" s="189"/>
      <c r="L244" s="189"/>
      <c r="M244" s="183">
        <f>+M245</f>
        <v>1140000000</v>
      </c>
      <c r="N244" s="37"/>
      <c r="O244" s="32"/>
      <c r="P244" s="32"/>
      <c r="Q244" s="32"/>
      <c r="R244" s="32"/>
      <c r="S244" s="32"/>
      <c r="T244" s="32"/>
      <c r="U244" s="32"/>
      <c r="V244" s="32"/>
      <c r="W244" s="32"/>
      <c r="X244" s="32"/>
      <c r="Y244" s="32"/>
      <c r="Z244" s="32"/>
      <c r="AA244" s="32"/>
      <c r="AB244" s="32"/>
    </row>
    <row r="245" spans="2:28" x14ac:dyDescent="0.2">
      <c r="B245" s="189"/>
      <c r="C245" s="190"/>
      <c r="D245" s="189"/>
      <c r="E245" s="189"/>
      <c r="F245" s="189"/>
      <c r="G245" s="195"/>
      <c r="H245" s="80" t="s">
        <v>835</v>
      </c>
      <c r="I245" s="189"/>
      <c r="J245" s="190"/>
      <c r="K245" s="189"/>
      <c r="L245" s="189"/>
      <c r="M245" s="183">
        <v>1140000000</v>
      </c>
      <c r="N245" s="37"/>
      <c r="O245" s="32"/>
      <c r="P245" s="32"/>
      <c r="Q245" s="32"/>
      <c r="R245" s="32"/>
      <c r="S245" s="32"/>
      <c r="T245" s="32"/>
      <c r="U245" s="32"/>
      <c r="V245" s="32"/>
      <c r="W245" s="32"/>
      <c r="X245" s="32"/>
      <c r="Y245" s="32"/>
      <c r="Z245" s="32"/>
      <c r="AA245" s="32"/>
      <c r="AB245" s="32"/>
    </row>
    <row r="246" spans="2:28" ht="51" x14ac:dyDescent="0.2">
      <c r="B246" s="189"/>
      <c r="C246" s="190" t="s">
        <v>10</v>
      </c>
      <c r="D246" s="189"/>
      <c r="E246" s="189"/>
      <c r="F246" s="189"/>
      <c r="G246" s="195">
        <v>296101</v>
      </c>
      <c r="H246" s="80" t="s">
        <v>1501</v>
      </c>
      <c r="I246" s="189"/>
      <c r="J246" s="190"/>
      <c r="K246" s="189"/>
      <c r="L246" s="189"/>
      <c r="M246" s="183">
        <f>+M247</f>
        <v>400000000</v>
      </c>
      <c r="N246" s="37"/>
      <c r="O246" s="32"/>
      <c r="P246" s="32"/>
      <c r="Q246" s="32"/>
      <c r="R246" s="32"/>
      <c r="S246" s="32"/>
      <c r="T246" s="32"/>
      <c r="U246" s="32"/>
      <c r="V246" s="32"/>
      <c r="W246" s="32"/>
      <c r="X246" s="32"/>
      <c r="Y246" s="32"/>
      <c r="Z246" s="32"/>
      <c r="AA246" s="32"/>
      <c r="AB246" s="32"/>
    </row>
    <row r="247" spans="2:28" x14ac:dyDescent="0.2">
      <c r="B247" s="189"/>
      <c r="C247" s="190"/>
      <c r="D247" s="189"/>
      <c r="E247" s="189"/>
      <c r="F247" s="189"/>
      <c r="G247" s="195"/>
      <c r="H247" s="80" t="s">
        <v>835</v>
      </c>
      <c r="I247" s="189"/>
      <c r="J247" s="190"/>
      <c r="K247" s="189"/>
      <c r="L247" s="189"/>
      <c r="M247" s="183">
        <f>500000000-100000000</f>
        <v>400000000</v>
      </c>
      <c r="N247" s="37"/>
      <c r="O247" s="32"/>
      <c r="P247" s="32"/>
      <c r="Q247" s="32"/>
      <c r="R247" s="32"/>
      <c r="S247" s="32"/>
      <c r="T247" s="32"/>
      <c r="U247" s="32"/>
      <c r="V247" s="32"/>
      <c r="W247" s="32"/>
      <c r="X247" s="32"/>
      <c r="Y247" s="32"/>
      <c r="Z247" s="32"/>
      <c r="AA247" s="32"/>
      <c r="AB247" s="32"/>
    </row>
    <row r="248" spans="2:28" ht="51" x14ac:dyDescent="0.2">
      <c r="B248" s="189"/>
      <c r="C248" s="190" t="s">
        <v>1159</v>
      </c>
      <c r="D248" s="189"/>
      <c r="E248" s="189"/>
      <c r="F248" s="189"/>
      <c r="G248" s="195">
        <v>296050</v>
      </c>
      <c r="H248" s="80" t="s">
        <v>1240</v>
      </c>
      <c r="I248" s="189"/>
      <c r="J248" s="190"/>
      <c r="K248" s="189"/>
      <c r="L248" s="189"/>
      <c r="M248" s="183">
        <f>+M249</f>
        <v>1920736833</v>
      </c>
      <c r="N248" s="37"/>
      <c r="O248" s="32"/>
      <c r="P248" s="32"/>
      <c r="Q248" s="32"/>
      <c r="R248" s="32"/>
      <c r="S248" s="32"/>
      <c r="T248" s="32"/>
      <c r="U248" s="32"/>
      <c r="V248" s="32"/>
      <c r="W248" s="32"/>
      <c r="X248" s="32"/>
      <c r="Y248" s="32"/>
      <c r="Z248" s="32"/>
      <c r="AA248" s="32"/>
      <c r="AB248" s="32"/>
    </row>
    <row r="249" spans="2:28" x14ac:dyDescent="0.2">
      <c r="B249" s="189"/>
      <c r="C249" s="190"/>
      <c r="D249" s="189"/>
      <c r="E249" s="189"/>
      <c r="F249" s="189"/>
      <c r="G249" s="195"/>
      <c r="H249" s="80" t="s">
        <v>835</v>
      </c>
      <c r="I249" s="189"/>
      <c r="J249" s="190"/>
      <c r="K249" s="189"/>
      <c r="L249" s="189"/>
      <c r="M249" s="183">
        <v>1920736833</v>
      </c>
      <c r="N249" s="37"/>
      <c r="O249" s="32"/>
      <c r="P249" s="32"/>
      <c r="Q249" s="32"/>
      <c r="R249" s="32"/>
      <c r="S249" s="32"/>
      <c r="T249" s="32"/>
      <c r="U249" s="32"/>
      <c r="V249" s="32"/>
      <c r="W249" s="32"/>
      <c r="X249" s="32"/>
      <c r="Y249" s="32"/>
      <c r="Z249" s="32"/>
      <c r="AA249" s="32"/>
      <c r="AB249" s="32"/>
    </row>
    <row r="250" spans="2:28" ht="38.25" x14ac:dyDescent="0.2">
      <c r="B250" s="189"/>
      <c r="C250" s="190" t="s">
        <v>10</v>
      </c>
      <c r="D250" s="189"/>
      <c r="E250" s="189"/>
      <c r="F250" s="189"/>
      <c r="G250" s="195">
        <v>296050</v>
      </c>
      <c r="H250" s="80" t="s">
        <v>1502</v>
      </c>
      <c r="I250" s="189"/>
      <c r="J250" s="190"/>
      <c r="K250" s="189"/>
      <c r="L250" s="189"/>
      <c r="M250" s="183">
        <f>+M251</f>
        <v>1729263167</v>
      </c>
      <c r="N250" s="37"/>
      <c r="O250" s="32"/>
      <c r="P250" s="32"/>
      <c r="Q250" s="32"/>
      <c r="R250" s="32"/>
      <c r="S250" s="32"/>
      <c r="T250" s="32"/>
      <c r="U250" s="32"/>
      <c r="V250" s="32"/>
      <c r="W250" s="32"/>
      <c r="X250" s="32"/>
      <c r="Y250" s="32"/>
      <c r="Z250" s="32"/>
      <c r="AA250" s="32"/>
      <c r="AB250" s="32"/>
    </row>
    <row r="251" spans="2:28" x14ac:dyDescent="0.2">
      <c r="B251" s="189"/>
      <c r="C251" s="190"/>
      <c r="D251" s="189"/>
      <c r="E251" s="189"/>
      <c r="F251" s="189"/>
      <c r="G251" s="195"/>
      <c r="H251" s="80" t="s">
        <v>835</v>
      </c>
      <c r="I251" s="189"/>
      <c r="J251" s="190"/>
      <c r="K251" s="189"/>
      <c r="L251" s="189"/>
      <c r="M251" s="183">
        <f>1829263167-200000000+100000000</f>
        <v>1729263167</v>
      </c>
      <c r="N251" s="37"/>
      <c r="O251" s="32"/>
      <c r="P251" s="32"/>
      <c r="Q251" s="32"/>
      <c r="R251" s="32"/>
      <c r="S251" s="32"/>
      <c r="T251" s="32"/>
      <c r="U251" s="32"/>
      <c r="V251" s="32"/>
      <c r="W251" s="32"/>
      <c r="X251" s="32"/>
      <c r="Y251" s="32"/>
      <c r="Z251" s="32"/>
      <c r="AA251" s="32"/>
      <c r="AB251" s="32"/>
    </row>
    <row r="252" spans="2:28" ht="51" x14ac:dyDescent="0.2">
      <c r="B252" s="189"/>
      <c r="C252" s="190" t="s">
        <v>1159</v>
      </c>
      <c r="D252" s="189"/>
      <c r="E252" s="189"/>
      <c r="F252" s="189"/>
      <c r="G252" s="195">
        <v>296040</v>
      </c>
      <c r="H252" s="80" t="s">
        <v>1241</v>
      </c>
      <c r="I252" s="189"/>
      <c r="J252" s="190"/>
      <c r="K252" s="189"/>
      <c r="L252" s="189"/>
      <c r="M252" s="183">
        <f>+M253</f>
        <v>199000000</v>
      </c>
      <c r="N252" s="37"/>
      <c r="O252" s="32"/>
      <c r="P252" s="32"/>
      <c r="Q252" s="32"/>
      <c r="R252" s="32"/>
      <c r="S252" s="32"/>
      <c r="T252" s="32"/>
      <c r="U252" s="32"/>
      <c r="V252" s="32"/>
      <c r="W252" s="32"/>
      <c r="X252" s="32"/>
      <c r="Y252" s="32"/>
      <c r="Z252" s="32"/>
      <c r="AA252" s="32"/>
      <c r="AB252" s="32"/>
    </row>
    <row r="253" spans="2:28" x14ac:dyDescent="0.2">
      <c r="B253" s="189"/>
      <c r="C253" s="190"/>
      <c r="D253" s="189"/>
      <c r="E253" s="189"/>
      <c r="F253" s="189"/>
      <c r="G253" s="195"/>
      <c r="H253" s="80" t="s">
        <v>835</v>
      </c>
      <c r="I253" s="189"/>
      <c r="J253" s="190"/>
      <c r="K253" s="189"/>
      <c r="L253" s="189"/>
      <c r="M253" s="183">
        <v>199000000</v>
      </c>
      <c r="N253" s="37"/>
      <c r="O253" s="32"/>
      <c r="P253" s="32"/>
      <c r="Q253" s="32"/>
      <c r="R253" s="32"/>
      <c r="S253" s="32"/>
      <c r="T253" s="32"/>
      <c r="U253" s="32"/>
      <c r="V253" s="32"/>
      <c r="W253" s="32"/>
      <c r="X253" s="32"/>
      <c r="Y253" s="32"/>
      <c r="Z253" s="32"/>
      <c r="AA253" s="32"/>
      <c r="AB253" s="32"/>
    </row>
    <row r="254" spans="2:28" ht="38.25" x14ac:dyDescent="0.2">
      <c r="B254" s="189"/>
      <c r="C254" s="190" t="s">
        <v>10</v>
      </c>
      <c r="D254" s="189"/>
      <c r="E254" s="189"/>
      <c r="F254" s="189"/>
      <c r="G254" s="195">
        <v>296040</v>
      </c>
      <c r="H254" s="80" t="s">
        <v>1503</v>
      </c>
      <c r="I254" s="189"/>
      <c r="J254" s="190"/>
      <c r="K254" s="189"/>
      <c r="L254" s="189"/>
      <c r="M254" s="183">
        <f>+M255</f>
        <v>510680000</v>
      </c>
      <c r="N254" s="37"/>
      <c r="O254" s="32"/>
      <c r="P254" s="32"/>
      <c r="Q254" s="32"/>
      <c r="R254" s="32"/>
      <c r="S254" s="32"/>
      <c r="T254" s="32"/>
      <c r="U254" s="32"/>
      <c r="V254" s="32"/>
      <c r="W254" s="32"/>
      <c r="X254" s="32"/>
      <c r="Y254" s="32"/>
      <c r="Z254" s="32"/>
      <c r="AA254" s="32"/>
      <c r="AB254" s="32"/>
    </row>
    <row r="255" spans="2:28" x14ac:dyDescent="0.2">
      <c r="B255" s="189"/>
      <c r="C255" s="190"/>
      <c r="D255" s="189"/>
      <c r="E255" s="189"/>
      <c r="F255" s="189"/>
      <c r="G255" s="195"/>
      <c r="H255" s="80" t="s">
        <v>835</v>
      </c>
      <c r="I255" s="189"/>
      <c r="J255" s="190"/>
      <c r="K255" s="189"/>
      <c r="L255" s="189"/>
      <c r="M255" s="183">
        <f>510680000-100000000+100000000</f>
        <v>510680000</v>
      </c>
      <c r="N255" s="37"/>
      <c r="O255" s="32"/>
      <c r="P255" s="32"/>
      <c r="Q255" s="32"/>
      <c r="R255" s="32"/>
      <c r="S255" s="32"/>
      <c r="T255" s="32"/>
      <c r="U255" s="32"/>
      <c r="V255" s="32"/>
      <c r="W255" s="32"/>
      <c r="X255" s="32"/>
      <c r="Y255" s="32"/>
      <c r="Z255" s="32"/>
      <c r="AA255" s="32"/>
      <c r="AB255" s="32"/>
    </row>
    <row r="256" spans="2:28" ht="25.5" x14ac:dyDescent="0.2">
      <c r="B256" s="189"/>
      <c r="C256" s="190" t="s">
        <v>10</v>
      </c>
      <c r="D256" s="189"/>
      <c r="E256" s="189"/>
      <c r="F256" s="189"/>
      <c r="G256" s="195">
        <v>296098</v>
      </c>
      <c r="H256" s="80" t="s">
        <v>38</v>
      </c>
      <c r="I256" s="189"/>
      <c r="J256" s="190"/>
      <c r="K256" s="189"/>
      <c r="L256" s="189"/>
      <c r="M256" s="183">
        <f>+M257</f>
        <v>5088333000</v>
      </c>
      <c r="N256" s="37"/>
      <c r="O256" s="32"/>
      <c r="P256" s="32"/>
      <c r="Q256" s="32"/>
      <c r="R256" s="32"/>
      <c r="S256" s="32"/>
      <c r="T256" s="32"/>
      <c r="U256" s="32"/>
      <c r="V256" s="32"/>
      <c r="W256" s="32"/>
      <c r="X256" s="32"/>
      <c r="Y256" s="32"/>
      <c r="Z256" s="32"/>
      <c r="AA256" s="32"/>
      <c r="AB256" s="32"/>
    </row>
    <row r="257" spans="2:28" x14ac:dyDescent="0.2">
      <c r="B257" s="189"/>
      <c r="C257" s="190"/>
      <c r="D257" s="189"/>
      <c r="E257" s="189"/>
      <c r="F257" s="189"/>
      <c r="G257" s="195"/>
      <c r="H257" s="80" t="s">
        <v>798</v>
      </c>
      <c r="I257" s="189"/>
      <c r="J257" s="190"/>
      <c r="K257" s="189"/>
      <c r="L257" s="189"/>
      <c r="M257" s="183">
        <v>5088333000</v>
      </c>
      <c r="N257" s="37"/>
      <c r="O257" s="32"/>
      <c r="P257" s="32"/>
      <c r="Q257" s="32"/>
      <c r="R257" s="32"/>
      <c r="S257" s="32"/>
      <c r="T257" s="32"/>
      <c r="U257" s="32"/>
      <c r="V257" s="32"/>
      <c r="W257" s="32"/>
      <c r="X257" s="32"/>
      <c r="Y257" s="32"/>
      <c r="Z257" s="32"/>
      <c r="AA257" s="32"/>
      <c r="AB257" s="32"/>
    </row>
    <row r="258" spans="2:28" x14ac:dyDescent="0.2">
      <c r="B258" s="189"/>
      <c r="C258" s="190"/>
      <c r="D258" s="189"/>
      <c r="E258" s="189"/>
      <c r="F258" s="189"/>
      <c r="G258" s="195"/>
      <c r="H258" s="80" t="s">
        <v>1115</v>
      </c>
      <c r="I258" s="189"/>
      <c r="J258" s="190"/>
      <c r="K258" s="189"/>
      <c r="L258" s="189"/>
      <c r="M258" s="183" t="s">
        <v>1115</v>
      </c>
      <c r="N258" s="37"/>
      <c r="O258" s="32"/>
      <c r="P258" s="32"/>
      <c r="Q258" s="32"/>
      <c r="R258" s="32"/>
      <c r="S258" s="32"/>
      <c r="T258" s="32"/>
      <c r="U258" s="32"/>
      <c r="V258" s="32"/>
      <c r="W258" s="32"/>
      <c r="X258" s="32"/>
      <c r="Y258" s="32"/>
      <c r="Z258" s="32"/>
      <c r="AA258" s="32"/>
      <c r="AB258" s="32"/>
    </row>
    <row r="259" spans="2:28" ht="51" x14ac:dyDescent="0.2">
      <c r="B259" s="189"/>
      <c r="C259" s="190" t="s">
        <v>1518</v>
      </c>
      <c r="D259" s="189"/>
      <c r="E259" s="189"/>
      <c r="F259" s="189"/>
      <c r="G259" s="195">
        <v>296098</v>
      </c>
      <c r="H259" s="80" t="s">
        <v>1519</v>
      </c>
      <c r="I259" s="189"/>
      <c r="J259" s="190"/>
      <c r="K259" s="189"/>
      <c r="L259" s="189"/>
      <c r="M259" s="183">
        <f>+M260</f>
        <v>22052163838</v>
      </c>
      <c r="N259" s="37"/>
      <c r="O259" s="32"/>
      <c r="P259" s="32"/>
      <c r="Q259" s="32"/>
      <c r="R259" s="32"/>
      <c r="S259" s="32"/>
      <c r="T259" s="32"/>
      <c r="U259" s="32"/>
      <c r="V259" s="32"/>
      <c r="W259" s="32"/>
      <c r="X259" s="32"/>
      <c r="Y259" s="32"/>
      <c r="Z259" s="32"/>
      <c r="AA259" s="32"/>
      <c r="AB259" s="32"/>
    </row>
    <row r="260" spans="2:28" x14ac:dyDescent="0.2">
      <c r="B260" s="189"/>
      <c r="C260" s="190"/>
      <c r="D260" s="189"/>
      <c r="E260" s="189"/>
      <c r="F260" s="189"/>
      <c r="G260" s="195"/>
      <c r="H260" s="80" t="s">
        <v>835</v>
      </c>
      <c r="I260" s="189"/>
      <c r="J260" s="190"/>
      <c r="K260" s="189"/>
      <c r="L260" s="189"/>
      <c r="M260" s="183">
        <f>22052163838</f>
        <v>22052163838</v>
      </c>
      <c r="N260" s="37"/>
      <c r="O260" s="32"/>
      <c r="P260" s="32"/>
      <c r="Q260" s="32"/>
      <c r="R260" s="32"/>
      <c r="S260" s="32"/>
      <c r="T260" s="32"/>
      <c r="U260" s="32"/>
      <c r="V260" s="32"/>
      <c r="W260" s="32"/>
      <c r="X260" s="32"/>
      <c r="Y260" s="32"/>
      <c r="Z260" s="32"/>
      <c r="AA260" s="32"/>
      <c r="AB260" s="32"/>
    </row>
    <row r="261" spans="2:28" ht="51" x14ac:dyDescent="0.2">
      <c r="B261" s="189"/>
      <c r="C261" s="190" t="s">
        <v>1159</v>
      </c>
      <c r="D261" s="189"/>
      <c r="E261" s="189"/>
      <c r="F261" s="189"/>
      <c r="G261" s="195">
        <v>296054</v>
      </c>
      <c r="H261" s="80" t="s">
        <v>1242</v>
      </c>
      <c r="I261" s="189"/>
      <c r="J261" s="190"/>
      <c r="K261" s="189"/>
      <c r="L261" s="189"/>
      <c r="M261" s="183">
        <f>++M262</f>
        <v>1220196000</v>
      </c>
      <c r="N261" s="37"/>
      <c r="O261" s="32"/>
      <c r="P261" s="32"/>
      <c r="Q261" s="32"/>
      <c r="R261" s="32"/>
      <c r="S261" s="32"/>
      <c r="T261" s="32"/>
      <c r="U261" s="32"/>
      <c r="V261" s="32"/>
      <c r="W261" s="32"/>
      <c r="X261" s="32"/>
      <c r="Y261" s="32"/>
      <c r="Z261" s="32"/>
      <c r="AA261" s="32"/>
      <c r="AB261" s="32"/>
    </row>
    <row r="262" spans="2:28" x14ac:dyDescent="0.2">
      <c r="B262" s="189"/>
      <c r="C262" s="190"/>
      <c r="D262" s="189"/>
      <c r="E262" s="189"/>
      <c r="F262" s="189"/>
      <c r="G262" s="195"/>
      <c r="H262" s="80" t="s">
        <v>835</v>
      </c>
      <c r="I262" s="189"/>
      <c r="J262" s="190"/>
      <c r="K262" s="189"/>
      <c r="L262" s="189"/>
      <c r="M262" s="183">
        <v>1220196000</v>
      </c>
      <c r="N262" s="37"/>
      <c r="O262" s="32"/>
      <c r="P262" s="32"/>
      <c r="Q262" s="32"/>
      <c r="R262" s="32"/>
      <c r="S262" s="32"/>
      <c r="T262" s="32"/>
      <c r="U262" s="32"/>
      <c r="V262" s="32"/>
      <c r="W262" s="32"/>
      <c r="X262" s="32"/>
      <c r="Y262" s="32"/>
      <c r="Z262" s="32"/>
      <c r="AA262" s="32"/>
      <c r="AB262" s="32"/>
    </row>
    <row r="263" spans="2:28" ht="51" x14ac:dyDescent="0.2">
      <c r="B263" s="189"/>
      <c r="C263" s="190" t="s">
        <v>10</v>
      </c>
      <c r="D263" s="189"/>
      <c r="E263" s="189"/>
      <c r="F263" s="189"/>
      <c r="G263" s="195">
        <v>296054</v>
      </c>
      <c r="H263" s="80" t="s">
        <v>1504</v>
      </c>
      <c r="I263" s="189"/>
      <c r="J263" s="190"/>
      <c r="K263" s="189"/>
      <c r="L263" s="189"/>
      <c r="M263" s="183">
        <f>+M266+M264+M265</f>
        <v>23820196000</v>
      </c>
      <c r="N263" s="37"/>
      <c r="O263" s="32"/>
      <c r="P263" s="32"/>
      <c r="Q263" s="32"/>
      <c r="R263" s="32"/>
      <c r="S263" s="32"/>
      <c r="T263" s="32"/>
      <c r="U263" s="32"/>
      <c r="V263" s="32"/>
      <c r="W263" s="32"/>
      <c r="X263" s="32"/>
      <c r="Y263" s="32"/>
      <c r="Z263" s="32"/>
      <c r="AA263" s="32"/>
      <c r="AB263" s="32"/>
    </row>
    <row r="264" spans="2:28" x14ac:dyDescent="0.2">
      <c r="B264" s="189"/>
      <c r="C264" s="190"/>
      <c r="D264" s="189"/>
      <c r="E264" s="189"/>
      <c r="F264" s="189"/>
      <c r="G264" s="195"/>
      <c r="H264" s="80" t="s">
        <v>835</v>
      </c>
      <c r="I264" s="189"/>
      <c r="J264" s="190"/>
      <c r="K264" s="189"/>
      <c r="L264" s="189"/>
      <c r="M264" s="183">
        <f>6220196000-4000000000</f>
        <v>2220196000</v>
      </c>
      <c r="N264" s="37"/>
      <c r="O264" s="32"/>
      <c r="P264" s="32"/>
      <c r="Q264" s="32"/>
      <c r="R264" s="32"/>
      <c r="S264" s="32"/>
      <c r="T264" s="32"/>
      <c r="U264" s="32"/>
      <c r="V264" s="32"/>
      <c r="W264" s="32"/>
      <c r="X264" s="32"/>
      <c r="Y264" s="32"/>
      <c r="Z264" s="32"/>
      <c r="AA264" s="32"/>
      <c r="AB264" s="32"/>
    </row>
    <row r="265" spans="2:28" x14ac:dyDescent="0.2">
      <c r="B265" s="189"/>
      <c r="C265" s="190"/>
      <c r="D265" s="189"/>
      <c r="E265" s="189"/>
      <c r="F265" s="189"/>
      <c r="G265" s="195"/>
      <c r="H265" s="80" t="s">
        <v>1512</v>
      </c>
      <c r="I265" s="189"/>
      <c r="J265" s="190"/>
      <c r="K265" s="189"/>
      <c r="L265" s="189"/>
      <c r="M265" s="183">
        <f>300000000-200000000</f>
        <v>100000000</v>
      </c>
      <c r="N265" s="37"/>
      <c r="O265" s="32"/>
      <c r="P265" s="32"/>
      <c r="Q265" s="32"/>
      <c r="R265" s="32"/>
      <c r="S265" s="32"/>
      <c r="T265" s="32"/>
      <c r="U265" s="32"/>
      <c r="V265" s="32"/>
      <c r="W265" s="32"/>
      <c r="X265" s="32"/>
      <c r="Y265" s="32"/>
      <c r="Z265" s="32"/>
      <c r="AA265" s="32"/>
      <c r="AB265" s="32"/>
    </row>
    <row r="266" spans="2:28" x14ac:dyDescent="0.2">
      <c r="B266" s="189"/>
      <c r="C266" s="190"/>
      <c r="D266" s="189"/>
      <c r="E266" s="189"/>
      <c r="F266" s="189"/>
      <c r="G266" s="195"/>
      <c r="H266" s="80" t="s">
        <v>1158</v>
      </c>
      <c r="I266" s="189"/>
      <c r="J266" s="190"/>
      <c r="K266" s="189"/>
      <c r="L266" s="189"/>
      <c r="M266" s="183">
        <v>21500000000</v>
      </c>
      <c r="N266" s="37"/>
      <c r="O266" s="32"/>
      <c r="P266" s="32"/>
      <c r="Q266" s="32"/>
      <c r="R266" s="32"/>
      <c r="S266" s="32"/>
      <c r="T266" s="32"/>
      <c r="U266" s="32"/>
      <c r="V266" s="32"/>
      <c r="W266" s="32"/>
      <c r="X266" s="32"/>
      <c r="Y266" s="32"/>
      <c r="Z266" s="32"/>
      <c r="AA266" s="32"/>
      <c r="AB266" s="32"/>
    </row>
    <row r="267" spans="2:28" ht="51" x14ac:dyDescent="0.2">
      <c r="B267" s="189"/>
      <c r="C267" s="190" t="s">
        <v>1159</v>
      </c>
      <c r="D267" s="189"/>
      <c r="E267" s="189"/>
      <c r="F267" s="189"/>
      <c r="G267" s="195">
        <v>296038</v>
      </c>
      <c r="H267" s="80" t="s">
        <v>1243</v>
      </c>
      <c r="I267" s="189"/>
      <c r="J267" s="190"/>
      <c r="K267" s="189"/>
      <c r="L267" s="189"/>
      <c r="M267" s="183">
        <f>+M268</f>
        <v>209820000</v>
      </c>
      <c r="N267" s="37"/>
      <c r="O267" s="32"/>
      <c r="P267" s="32"/>
      <c r="Q267" s="32"/>
      <c r="R267" s="32"/>
      <c r="S267" s="32"/>
      <c r="T267" s="32"/>
      <c r="U267" s="32"/>
      <c r="V267" s="32"/>
      <c r="W267" s="32"/>
      <c r="X267" s="32"/>
      <c r="Y267" s="32"/>
      <c r="Z267" s="32"/>
      <c r="AA267" s="32"/>
      <c r="AB267" s="32"/>
    </row>
    <row r="268" spans="2:28" x14ac:dyDescent="0.2">
      <c r="B268" s="189"/>
      <c r="C268" s="190"/>
      <c r="D268" s="189"/>
      <c r="E268" s="189"/>
      <c r="F268" s="189"/>
      <c r="G268" s="195"/>
      <c r="H268" s="80" t="s">
        <v>835</v>
      </c>
      <c r="I268" s="189"/>
      <c r="J268" s="190"/>
      <c r="K268" s="189"/>
      <c r="L268" s="189"/>
      <c r="M268" s="183">
        <v>209820000</v>
      </c>
      <c r="N268" s="37"/>
      <c r="O268" s="32"/>
      <c r="P268" s="32"/>
      <c r="Q268" s="32"/>
      <c r="R268" s="32"/>
      <c r="S268" s="32"/>
      <c r="T268" s="32"/>
      <c r="U268" s="32"/>
      <c r="V268" s="32"/>
      <c r="W268" s="32"/>
      <c r="X268" s="32"/>
      <c r="Y268" s="32"/>
      <c r="Z268" s="32"/>
      <c r="AA268" s="32"/>
      <c r="AB268" s="32"/>
    </row>
    <row r="269" spans="2:28" ht="38.25" x14ac:dyDescent="0.2">
      <c r="B269" s="189"/>
      <c r="C269" s="190" t="s">
        <v>10</v>
      </c>
      <c r="D269" s="189"/>
      <c r="E269" s="189"/>
      <c r="F269" s="189"/>
      <c r="G269" s="195">
        <v>296038</v>
      </c>
      <c r="H269" s="80" t="s">
        <v>1505</v>
      </c>
      <c r="I269" s="189"/>
      <c r="J269" s="190"/>
      <c r="K269" s="189"/>
      <c r="L269" s="189"/>
      <c r="M269" s="183">
        <f>+M270</f>
        <v>616846000</v>
      </c>
      <c r="N269" s="37"/>
      <c r="O269" s="32"/>
      <c r="P269" s="32"/>
      <c r="Q269" s="32"/>
      <c r="R269" s="32"/>
      <c r="S269" s="32"/>
      <c r="T269" s="32"/>
      <c r="U269" s="32"/>
      <c r="V269" s="32"/>
      <c r="W269" s="32"/>
      <c r="X269" s="32"/>
      <c r="Y269" s="32"/>
      <c r="Z269" s="32"/>
      <c r="AA269" s="32"/>
      <c r="AB269" s="32"/>
    </row>
    <row r="270" spans="2:28" x14ac:dyDescent="0.2">
      <c r="B270" s="189"/>
      <c r="C270" s="190"/>
      <c r="D270" s="189"/>
      <c r="E270" s="189"/>
      <c r="F270" s="189"/>
      <c r="G270" s="195"/>
      <c r="H270" s="80" t="s">
        <v>835</v>
      </c>
      <c r="I270" s="189"/>
      <c r="J270" s="190"/>
      <c r="K270" s="189"/>
      <c r="L270" s="189"/>
      <c r="M270" s="183">
        <f>653909000+62937000-100000000</f>
        <v>616846000</v>
      </c>
      <c r="N270" s="37"/>
      <c r="O270" s="32"/>
      <c r="P270" s="32"/>
      <c r="Q270" s="32"/>
      <c r="R270" s="32"/>
      <c r="S270" s="32"/>
      <c r="T270" s="32"/>
      <c r="U270" s="32"/>
      <c r="V270" s="32"/>
      <c r="W270" s="32"/>
      <c r="X270" s="32"/>
      <c r="Y270" s="32"/>
      <c r="Z270" s="32"/>
      <c r="AA270" s="32"/>
      <c r="AB270" s="32"/>
    </row>
    <row r="271" spans="2:28" ht="76.5" x14ac:dyDescent="0.2">
      <c r="B271" s="189"/>
      <c r="C271" s="190" t="s">
        <v>1275</v>
      </c>
      <c r="D271" s="189"/>
      <c r="E271" s="189"/>
      <c r="F271" s="189"/>
      <c r="G271" s="195">
        <v>296055</v>
      </c>
      <c r="H271" s="80" t="s">
        <v>1244</v>
      </c>
      <c r="I271" s="189"/>
      <c r="J271" s="190"/>
      <c r="K271" s="189"/>
      <c r="L271" s="189"/>
      <c r="M271" s="183">
        <f>+M272</f>
        <v>824000000</v>
      </c>
      <c r="N271" s="37"/>
      <c r="O271" s="32"/>
      <c r="P271" s="32"/>
      <c r="Q271" s="32"/>
      <c r="R271" s="32"/>
      <c r="S271" s="32"/>
      <c r="T271" s="32"/>
      <c r="U271" s="32"/>
      <c r="V271" s="32"/>
      <c r="W271" s="32"/>
      <c r="X271" s="32"/>
      <c r="Y271" s="32"/>
      <c r="Z271" s="32"/>
      <c r="AA271" s="32"/>
      <c r="AB271" s="32"/>
    </row>
    <row r="272" spans="2:28" x14ac:dyDescent="0.2">
      <c r="B272" s="189"/>
      <c r="C272" s="190"/>
      <c r="D272" s="189"/>
      <c r="E272" s="189"/>
      <c r="F272" s="189"/>
      <c r="G272" s="195"/>
      <c r="H272" s="80" t="s">
        <v>835</v>
      </c>
      <c r="I272" s="189"/>
      <c r="J272" s="190"/>
      <c r="K272" s="189"/>
      <c r="L272" s="189"/>
      <c r="M272" s="183">
        <f>749000000+75000000</f>
        <v>824000000</v>
      </c>
      <c r="N272" s="37"/>
      <c r="O272" s="32"/>
      <c r="P272" s="32"/>
      <c r="Q272" s="32"/>
      <c r="R272" s="32"/>
      <c r="S272" s="32"/>
      <c r="T272" s="32"/>
      <c r="U272" s="32"/>
      <c r="V272" s="32"/>
      <c r="W272" s="32"/>
      <c r="X272" s="32"/>
      <c r="Y272" s="32"/>
      <c r="Z272" s="32"/>
      <c r="AA272" s="32"/>
      <c r="AB272" s="32"/>
    </row>
    <row r="273" spans="2:28" ht="51" x14ac:dyDescent="0.2">
      <c r="B273" s="189"/>
      <c r="C273" s="190" t="s">
        <v>10</v>
      </c>
      <c r="D273" s="189"/>
      <c r="E273" s="189"/>
      <c r="F273" s="189"/>
      <c r="G273" s="195">
        <v>296055</v>
      </c>
      <c r="H273" s="80" t="s">
        <v>1506</v>
      </c>
      <c r="I273" s="189"/>
      <c r="J273" s="190"/>
      <c r="K273" s="189"/>
      <c r="L273" s="189"/>
      <c r="M273" s="183">
        <f>+M274</f>
        <v>6176000000</v>
      </c>
      <c r="N273" s="37"/>
      <c r="O273" s="32"/>
      <c r="P273" s="32"/>
      <c r="Q273" s="32"/>
      <c r="R273" s="32"/>
      <c r="S273" s="32"/>
      <c r="T273" s="32"/>
      <c r="U273" s="32"/>
      <c r="V273" s="32"/>
      <c r="W273" s="32"/>
      <c r="X273" s="32"/>
      <c r="Y273" s="32"/>
      <c r="Z273" s="32"/>
      <c r="AA273" s="32"/>
      <c r="AB273" s="32"/>
    </row>
    <row r="274" spans="2:28" x14ac:dyDescent="0.2">
      <c r="B274" s="189"/>
      <c r="C274" s="190"/>
      <c r="D274" s="189"/>
      <c r="E274" s="189"/>
      <c r="F274" s="189"/>
      <c r="G274" s="195"/>
      <c r="H274" s="80" t="s">
        <v>835</v>
      </c>
      <c r="I274" s="189"/>
      <c r="J274" s="190"/>
      <c r="K274" s="189"/>
      <c r="L274" s="189"/>
      <c r="M274" s="183">
        <f>10176000000-4000000000</f>
        <v>6176000000</v>
      </c>
      <c r="N274" s="37"/>
      <c r="O274" s="32"/>
      <c r="P274" s="32"/>
      <c r="Q274" s="32"/>
      <c r="R274" s="32"/>
      <c r="S274" s="32"/>
      <c r="T274" s="32"/>
      <c r="U274" s="32"/>
      <c r="V274" s="32"/>
      <c r="W274" s="32"/>
      <c r="X274" s="32"/>
      <c r="Y274" s="32"/>
      <c r="Z274" s="32"/>
      <c r="AA274" s="32"/>
      <c r="AB274" s="32"/>
    </row>
    <row r="275" spans="2:28" ht="51" x14ac:dyDescent="0.2">
      <c r="B275" s="189"/>
      <c r="C275" s="190" t="s">
        <v>1159</v>
      </c>
      <c r="D275" s="189"/>
      <c r="E275" s="189"/>
      <c r="F275" s="189"/>
      <c r="G275" s="195">
        <v>296106</v>
      </c>
      <c r="H275" s="80" t="s">
        <v>1245</v>
      </c>
      <c r="I275" s="189"/>
      <c r="J275" s="190"/>
      <c r="K275" s="189"/>
      <c r="L275" s="189"/>
      <c r="M275" s="183">
        <f>+M276</f>
        <v>50400000</v>
      </c>
      <c r="N275" s="37"/>
      <c r="O275" s="32"/>
      <c r="P275" s="32"/>
      <c r="Q275" s="32"/>
      <c r="R275" s="32"/>
      <c r="S275" s="32"/>
      <c r="T275" s="32"/>
      <c r="U275" s="32"/>
      <c r="V275" s="32"/>
      <c r="W275" s="32"/>
      <c r="X275" s="32"/>
      <c r="Y275" s="32"/>
      <c r="Z275" s="32"/>
      <c r="AA275" s="32"/>
      <c r="AB275" s="32"/>
    </row>
    <row r="276" spans="2:28" x14ac:dyDescent="0.2">
      <c r="B276" s="189"/>
      <c r="C276" s="190"/>
      <c r="D276" s="189"/>
      <c r="E276" s="189"/>
      <c r="F276" s="189"/>
      <c r="G276" s="195"/>
      <c r="H276" s="80" t="s">
        <v>835</v>
      </c>
      <c r="I276" s="189"/>
      <c r="J276" s="190"/>
      <c r="K276" s="189"/>
      <c r="L276" s="189"/>
      <c r="M276" s="183">
        <v>50400000</v>
      </c>
      <c r="N276" s="37"/>
      <c r="O276" s="32"/>
      <c r="P276" s="32"/>
      <c r="Q276" s="32"/>
      <c r="R276" s="32"/>
      <c r="S276" s="32"/>
      <c r="T276" s="32"/>
      <c r="U276" s="32"/>
      <c r="V276" s="32"/>
      <c r="W276" s="32"/>
      <c r="X276" s="32"/>
      <c r="Y276" s="32"/>
      <c r="Z276" s="32"/>
      <c r="AA276" s="32"/>
      <c r="AB276" s="32"/>
    </row>
    <row r="277" spans="2:28" ht="38.25" x14ac:dyDescent="0.2">
      <c r="B277" s="189"/>
      <c r="C277" s="190" t="s">
        <v>10</v>
      </c>
      <c r="D277" s="189"/>
      <c r="E277" s="189"/>
      <c r="F277" s="189"/>
      <c r="G277" s="195">
        <v>296106</v>
      </c>
      <c r="H277" s="80" t="s">
        <v>1507</v>
      </c>
      <c r="I277" s="189"/>
      <c r="J277" s="190"/>
      <c r="K277" s="189"/>
      <c r="L277" s="189"/>
      <c r="M277" s="183">
        <f>+M278+M279</f>
        <v>28796037469</v>
      </c>
      <c r="N277" s="37"/>
      <c r="O277" s="32"/>
      <c r="P277" s="32"/>
      <c r="Q277" s="32"/>
      <c r="R277" s="32"/>
      <c r="S277" s="32"/>
      <c r="T277" s="32"/>
      <c r="U277" s="32"/>
      <c r="V277" s="32"/>
      <c r="W277" s="32"/>
      <c r="X277" s="32"/>
      <c r="Y277" s="32"/>
      <c r="Z277" s="32"/>
      <c r="AA277" s="32"/>
      <c r="AB277" s="32"/>
    </row>
    <row r="278" spans="2:28" x14ac:dyDescent="0.2">
      <c r="B278" s="189"/>
      <c r="C278" s="190"/>
      <c r="D278" s="189"/>
      <c r="E278" s="189"/>
      <c r="F278" s="189"/>
      <c r="G278" s="195"/>
      <c r="H278" s="80" t="s">
        <v>1158</v>
      </c>
      <c r="I278" s="189"/>
      <c r="J278" s="190"/>
      <c r="K278" s="189"/>
      <c r="L278" s="189"/>
      <c r="M278" s="183">
        <v>25796037469</v>
      </c>
      <c r="N278" s="37"/>
      <c r="O278" s="32"/>
      <c r="P278" s="32"/>
      <c r="Q278" s="32"/>
      <c r="R278" s="32"/>
      <c r="S278" s="32"/>
      <c r="T278" s="32"/>
      <c r="U278" s="32"/>
      <c r="V278" s="32"/>
      <c r="W278" s="32"/>
      <c r="X278" s="32"/>
      <c r="Y278" s="32"/>
      <c r="Z278" s="32"/>
      <c r="AA278" s="32"/>
      <c r="AB278" s="32"/>
    </row>
    <row r="279" spans="2:28" x14ac:dyDescent="0.2">
      <c r="B279" s="189"/>
      <c r="C279" s="190"/>
      <c r="D279" s="189"/>
      <c r="E279" s="189"/>
      <c r="F279" s="189"/>
      <c r="G279" s="195"/>
      <c r="H279" s="80" t="s">
        <v>835</v>
      </c>
      <c r="I279" s="189"/>
      <c r="J279" s="190"/>
      <c r="K279" s="189"/>
      <c r="L279" s="189"/>
      <c r="M279" s="183">
        <f>2700000000-700000000+1000000000</f>
        <v>3000000000</v>
      </c>
      <c r="N279" s="37"/>
      <c r="O279" s="32"/>
      <c r="P279" s="32"/>
      <c r="Q279" s="32"/>
      <c r="R279" s="32"/>
      <c r="S279" s="32"/>
      <c r="T279" s="32"/>
      <c r="U279" s="32"/>
      <c r="V279" s="32"/>
      <c r="W279" s="32"/>
      <c r="X279" s="32"/>
      <c r="Y279" s="32"/>
      <c r="Z279" s="32"/>
      <c r="AA279" s="32"/>
      <c r="AB279" s="32"/>
    </row>
    <row r="280" spans="2:28" ht="51" x14ac:dyDescent="0.2">
      <c r="B280" s="189"/>
      <c r="C280" s="190" t="s">
        <v>1159</v>
      </c>
      <c r="D280" s="189"/>
      <c r="E280" s="189"/>
      <c r="F280" s="189"/>
      <c r="G280" s="195">
        <v>296115</v>
      </c>
      <c r="H280" s="80" t="s">
        <v>1246</v>
      </c>
      <c r="I280" s="189"/>
      <c r="J280" s="190"/>
      <c r="K280" s="189"/>
      <c r="L280" s="189"/>
      <c r="M280" s="183">
        <f>++M281</f>
        <v>165000000</v>
      </c>
      <c r="N280" s="37"/>
      <c r="O280" s="32"/>
      <c r="P280" s="32"/>
      <c r="Q280" s="32"/>
      <c r="R280" s="32"/>
      <c r="S280" s="32"/>
      <c r="T280" s="32"/>
      <c r="U280" s="32"/>
      <c r="V280" s="32"/>
      <c r="W280" s="32"/>
      <c r="X280" s="32"/>
      <c r="Y280" s="32"/>
      <c r="Z280" s="32"/>
      <c r="AA280" s="32"/>
      <c r="AB280" s="32"/>
    </row>
    <row r="281" spans="2:28" x14ac:dyDescent="0.2">
      <c r="B281" s="189"/>
      <c r="C281" s="190"/>
      <c r="D281" s="189"/>
      <c r="E281" s="189"/>
      <c r="F281" s="189"/>
      <c r="G281" s="195"/>
      <c r="H281" s="80" t="s">
        <v>835</v>
      </c>
      <c r="I281" s="189"/>
      <c r="J281" s="190"/>
      <c r="K281" s="189"/>
      <c r="L281" s="189"/>
      <c r="M281" s="183">
        <v>165000000</v>
      </c>
      <c r="N281" s="37"/>
      <c r="O281" s="32"/>
      <c r="P281" s="32"/>
      <c r="Q281" s="32"/>
      <c r="R281" s="32"/>
      <c r="S281" s="32"/>
      <c r="T281" s="32"/>
      <c r="U281" s="32"/>
      <c r="V281" s="32"/>
      <c r="W281" s="32"/>
      <c r="X281" s="32"/>
      <c r="Y281" s="32"/>
      <c r="Z281" s="32"/>
      <c r="AA281" s="32"/>
      <c r="AB281" s="32"/>
    </row>
    <row r="282" spans="2:28" ht="38.25" x14ac:dyDescent="0.2">
      <c r="B282" s="189"/>
      <c r="C282" s="190" t="s">
        <v>10</v>
      </c>
      <c r="D282" s="189"/>
      <c r="E282" s="189"/>
      <c r="F282" s="189"/>
      <c r="G282" s="195">
        <v>296115</v>
      </c>
      <c r="H282" s="80" t="s">
        <v>1508</v>
      </c>
      <c r="I282" s="189"/>
      <c r="J282" s="190"/>
      <c r="K282" s="189"/>
      <c r="L282" s="189"/>
      <c r="M282" s="183">
        <f>+M283+M284</f>
        <v>1885000000</v>
      </c>
      <c r="N282" s="37"/>
      <c r="O282" s="32"/>
      <c r="P282" s="32"/>
      <c r="Q282" s="32"/>
      <c r="R282" s="32"/>
      <c r="S282" s="32"/>
      <c r="T282" s="32"/>
      <c r="U282" s="32"/>
      <c r="V282" s="32"/>
      <c r="W282" s="32"/>
      <c r="X282" s="32"/>
      <c r="Y282" s="32"/>
      <c r="Z282" s="32"/>
      <c r="AA282" s="32"/>
      <c r="AB282" s="32"/>
    </row>
    <row r="283" spans="2:28" x14ac:dyDescent="0.2">
      <c r="B283" s="189"/>
      <c r="C283" s="190"/>
      <c r="D283" s="189"/>
      <c r="E283" s="189"/>
      <c r="F283" s="189"/>
      <c r="G283" s="195"/>
      <c r="H283" s="80" t="s">
        <v>835</v>
      </c>
      <c r="I283" s="189"/>
      <c r="J283" s="190"/>
      <c r="K283" s="189"/>
      <c r="L283" s="189"/>
      <c r="M283" s="183">
        <f>2500000000+185000000-2000000000+1000000000</f>
        <v>1685000000</v>
      </c>
      <c r="N283" s="37"/>
      <c r="O283" s="32"/>
      <c r="P283" s="32"/>
      <c r="Q283" s="32"/>
      <c r="R283" s="32"/>
      <c r="S283" s="32"/>
      <c r="T283" s="32"/>
      <c r="U283" s="32"/>
      <c r="V283" s="32"/>
      <c r="W283" s="32"/>
      <c r="X283" s="32"/>
      <c r="Y283" s="32"/>
      <c r="Z283" s="32"/>
      <c r="AA283" s="32"/>
      <c r="AB283" s="32"/>
    </row>
    <row r="284" spans="2:28" x14ac:dyDescent="0.2">
      <c r="B284" s="189"/>
      <c r="C284" s="190"/>
      <c r="D284" s="189"/>
      <c r="E284" s="189"/>
      <c r="F284" s="189"/>
      <c r="G284" s="195"/>
      <c r="H284" s="80" t="s">
        <v>1550</v>
      </c>
      <c r="I284" s="189"/>
      <c r="J284" s="190"/>
      <c r="K284" s="189"/>
      <c r="L284" s="189"/>
      <c r="M284" s="183">
        <v>200000000</v>
      </c>
      <c r="N284" s="37"/>
      <c r="O284" s="32"/>
      <c r="P284" s="32"/>
      <c r="Q284" s="32"/>
      <c r="R284" s="32"/>
      <c r="S284" s="32"/>
      <c r="T284" s="32"/>
      <c r="U284" s="32"/>
      <c r="V284" s="32"/>
      <c r="W284" s="32"/>
      <c r="X284" s="32"/>
      <c r="Y284" s="32"/>
      <c r="Z284" s="32"/>
      <c r="AA284" s="32"/>
      <c r="AB284" s="32"/>
    </row>
    <row r="285" spans="2:28" x14ac:dyDescent="0.2">
      <c r="B285" s="189"/>
      <c r="C285" s="190"/>
      <c r="D285" s="189"/>
      <c r="E285" s="189"/>
      <c r="F285" s="189"/>
      <c r="G285" s="195"/>
      <c r="H285" s="80"/>
      <c r="I285" s="189"/>
      <c r="J285" s="190"/>
      <c r="K285" s="189"/>
      <c r="L285" s="189"/>
      <c r="M285" s="183"/>
      <c r="N285" s="37"/>
      <c r="O285" s="32"/>
      <c r="P285" s="32"/>
      <c r="Q285" s="32"/>
      <c r="R285" s="32"/>
      <c r="S285" s="32"/>
      <c r="T285" s="32"/>
      <c r="U285" s="32"/>
      <c r="V285" s="32"/>
      <c r="W285" s="32"/>
      <c r="X285" s="32"/>
      <c r="Y285" s="32"/>
      <c r="Z285" s="32"/>
      <c r="AA285" s="32"/>
      <c r="AB285" s="32"/>
    </row>
    <row r="286" spans="2:28" ht="25.5" x14ac:dyDescent="0.2">
      <c r="B286" s="189" t="s">
        <v>285</v>
      </c>
      <c r="C286" s="190"/>
      <c r="D286" s="189"/>
      <c r="E286" s="189"/>
      <c r="F286" s="189"/>
      <c r="G286" s="195"/>
      <c r="H286" s="173" t="s">
        <v>590</v>
      </c>
      <c r="I286" s="189"/>
      <c r="J286" s="190"/>
      <c r="K286" s="189"/>
      <c r="L286" s="189"/>
      <c r="M286" s="91">
        <f>+M288</f>
        <v>693805000</v>
      </c>
      <c r="N286" s="37"/>
      <c r="O286" s="32"/>
      <c r="P286" s="32"/>
      <c r="Q286" s="32"/>
      <c r="R286" s="32"/>
      <c r="S286" s="32"/>
      <c r="T286" s="32"/>
      <c r="U286" s="32"/>
      <c r="V286" s="32"/>
      <c r="W286" s="32"/>
      <c r="X286" s="32"/>
      <c r="Y286" s="32"/>
      <c r="Z286" s="32"/>
      <c r="AA286" s="32"/>
      <c r="AB286" s="32"/>
    </row>
    <row r="287" spans="2:28" ht="51" x14ac:dyDescent="0.2">
      <c r="B287" s="189"/>
      <c r="C287" s="190"/>
      <c r="D287" s="189"/>
      <c r="E287" s="196">
        <v>619</v>
      </c>
      <c r="F287" s="189" t="s">
        <v>268</v>
      </c>
      <c r="G287" s="195"/>
      <c r="H287" s="80" t="s">
        <v>1079</v>
      </c>
      <c r="I287" s="196">
        <v>4993</v>
      </c>
      <c r="J287" s="190" t="s">
        <v>193</v>
      </c>
      <c r="K287" s="196"/>
      <c r="L287" s="189"/>
      <c r="M287" s="194"/>
      <c r="N287" s="37"/>
      <c r="O287" s="32"/>
      <c r="P287" s="32"/>
      <c r="Q287" s="32"/>
      <c r="R287" s="32"/>
      <c r="S287" s="32"/>
      <c r="T287" s="32"/>
      <c r="U287" s="32"/>
      <c r="V287" s="32"/>
      <c r="W287" s="32"/>
      <c r="X287" s="32"/>
      <c r="Y287" s="32"/>
      <c r="Z287" s="32"/>
      <c r="AA287" s="32"/>
      <c r="AB287" s="32"/>
    </row>
    <row r="288" spans="2:28" ht="25.5" x14ac:dyDescent="0.2">
      <c r="B288" s="189" t="s">
        <v>497</v>
      </c>
      <c r="C288" s="190"/>
      <c r="D288" s="189"/>
      <c r="E288" s="189"/>
      <c r="F288" s="189"/>
      <c r="G288" s="195"/>
      <c r="H288" s="173" t="s">
        <v>70</v>
      </c>
      <c r="I288" s="189"/>
      <c r="J288" s="190"/>
      <c r="K288" s="189"/>
      <c r="L288" s="189"/>
      <c r="M288" s="91">
        <f>+M290+M292</f>
        <v>693805000</v>
      </c>
      <c r="N288" s="37"/>
      <c r="O288" s="32"/>
      <c r="P288" s="32"/>
      <c r="Q288" s="32"/>
      <c r="R288" s="32"/>
      <c r="S288" s="32"/>
      <c r="T288" s="32"/>
      <c r="U288" s="32"/>
      <c r="V288" s="32"/>
      <c r="W288" s="32"/>
      <c r="X288" s="32"/>
      <c r="Y288" s="32"/>
      <c r="Z288" s="32"/>
      <c r="AA288" s="32"/>
      <c r="AB288" s="32"/>
    </row>
    <row r="289" spans="2:28" ht="51" x14ac:dyDescent="0.2">
      <c r="B289" s="189"/>
      <c r="C289" s="190"/>
      <c r="D289" s="189" t="s">
        <v>6</v>
      </c>
      <c r="E289" s="196">
        <v>557</v>
      </c>
      <c r="F289" s="189" t="s">
        <v>1080</v>
      </c>
      <c r="G289" s="195"/>
      <c r="H289" s="80" t="s">
        <v>745</v>
      </c>
      <c r="I289" s="196">
        <v>56</v>
      </c>
      <c r="J289" s="190" t="s">
        <v>621</v>
      </c>
      <c r="K289" s="196">
        <v>65</v>
      </c>
      <c r="L289" s="189" t="s">
        <v>1176</v>
      </c>
      <c r="M289" s="194"/>
      <c r="N289" s="37"/>
      <c r="O289" s="32"/>
      <c r="P289" s="32"/>
      <c r="Q289" s="32"/>
      <c r="R289" s="32"/>
      <c r="S289" s="32"/>
      <c r="T289" s="32"/>
      <c r="U289" s="32"/>
      <c r="V289" s="32"/>
      <c r="W289" s="32"/>
      <c r="X289" s="32"/>
      <c r="Y289" s="32"/>
      <c r="Z289" s="32"/>
      <c r="AA289" s="32"/>
      <c r="AB289" s="32"/>
    </row>
    <row r="290" spans="2:28" ht="51" x14ac:dyDescent="0.2">
      <c r="B290" s="189"/>
      <c r="C290" s="190" t="s">
        <v>1159</v>
      </c>
      <c r="D290" s="189"/>
      <c r="E290" s="189"/>
      <c r="F290" s="189"/>
      <c r="G290" s="195">
        <v>296052</v>
      </c>
      <c r="H290" s="80" t="s">
        <v>1247</v>
      </c>
      <c r="I290" s="189"/>
      <c r="J290" s="190"/>
      <c r="K290" s="189"/>
      <c r="L290" s="189"/>
      <c r="M290" s="183">
        <f>+M291</f>
        <v>193805000</v>
      </c>
      <c r="N290" s="37"/>
      <c r="O290" s="32"/>
      <c r="P290" s="32"/>
      <c r="Q290" s="32"/>
      <c r="R290" s="32"/>
      <c r="S290" s="32"/>
      <c r="T290" s="32"/>
      <c r="U290" s="32"/>
      <c r="V290" s="32"/>
      <c r="W290" s="32"/>
      <c r="X290" s="32"/>
      <c r="Y290" s="32"/>
      <c r="Z290" s="32"/>
      <c r="AA290" s="32"/>
      <c r="AB290" s="32"/>
    </row>
    <row r="291" spans="2:28" x14ac:dyDescent="0.2">
      <c r="B291" s="189"/>
      <c r="C291" s="190"/>
      <c r="D291" s="189"/>
      <c r="E291" s="189"/>
      <c r="F291" s="189"/>
      <c r="G291" s="195"/>
      <c r="H291" s="80" t="s">
        <v>835</v>
      </c>
      <c r="I291" s="189"/>
      <c r="J291" s="190"/>
      <c r="K291" s="189"/>
      <c r="L291" s="189"/>
      <c r="M291" s="183">
        <v>193805000</v>
      </c>
      <c r="N291" s="37"/>
      <c r="O291" s="32"/>
      <c r="P291" s="32"/>
      <c r="Q291" s="32"/>
      <c r="R291" s="32"/>
      <c r="S291" s="32"/>
      <c r="T291" s="32"/>
      <c r="U291" s="32"/>
      <c r="V291" s="32"/>
      <c r="W291" s="32"/>
      <c r="X291" s="32"/>
      <c r="Y291" s="32"/>
      <c r="Z291" s="32"/>
      <c r="AA291" s="32"/>
      <c r="AB291" s="32"/>
    </row>
    <row r="292" spans="2:28" ht="38.25" x14ac:dyDescent="0.2">
      <c r="B292" s="189"/>
      <c r="C292" s="190" t="s">
        <v>10</v>
      </c>
      <c r="D292" s="189"/>
      <c r="E292" s="189"/>
      <c r="F292" s="189"/>
      <c r="G292" s="195">
        <v>296052</v>
      </c>
      <c r="H292" s="80" t="s">
        <v>1509</v>
      </c>
      <c r="I292" s="189"/>
      <c r="J292" s="190"/>
      <c r="K292" s="189"/>
      <c r="L292" s="189"/>
      <c r="M292" s="183">
        <f>+M293</f>
        <v>500000000</v>
      </c>
      <c r="N292" s="37"/>
      <c r="O292" s="32"/>
      <c r="P292" s="32"/>
      <c r="Q292" s="32"/>
      <c r="R292" s="32"/>
      <c r="S292" s="32"/>
      <c r="T292" s="32"/>
      <c r="U292" s="32"/>
      <c r="V292" s="32"/>
      <c r="W292" s="32"/>
      <c r="X292" s="32"/>
      <c r="Y292" s="32"/>
      <c r="Z292" s="32"/>
      <c r="AA292" s="32"/>
      <c r="AB292" s="32"/>
    </row>
    <row r="293" spans="2:28" x14ac:dyDescent="0.2">
      <c r="B293" s="189"/>
      <c r="C293" s="190"/>
      <c r="D293" s="189"/>
      <c r="E293" s="189"/>
      <c r="F293" s="189"/>
      <c r="G293" s="195"/>
      <c r="H293" s="80" t="s">
        <v>835</v>
      </c>
      <c r="I293" s="189"/>
      <c r="J293" s="190"/>
      <c r="K293" s="189"/>
      <c r="L293" s="189"/>
      <c r="M293" s="183">
        <f>450000000+22000000+200000000-172000000</f>
        <v>500000000</v>
      </c>
      <c r="N293" s="37"/>
      <c r="O293" s="32"/>
      <c r="P293" s="32"/>
      <c r="Q293" s="32"/>
      <c r="R293" s="32"/>
      <c r="S293" s="32"/>
      <c r="T293" s="32"/>
      <c r="U293" s="32"/>
      <c r="V293" s="32"/>
      <c r="W293" s="32"/>
      <c r="X293" s="32"/>
      <c r="Y293" s="32"/>
      <c r="Z293" s="32"/>
      <c r="AA293" s="32"/>
      <c r="AB293" s="32"/>
    </row>
    <row r="294" spans="2:28" x14ac:dyDescent="0.2">
      <c r="B294" s="189"/>
      <c r="C294" s="190"/>
      <c r="D294" s="189"/>
      <c r="E294" s="189"/>
      <c r="F294" s="189"/>
      <c r="G294" s="195"/>
      <c r="H294" s="80"/>
      <c r="I294" s="189"/>
      <c r="J294" s="190"/>
      <c r="K294" s="189"/>
      <c r="L294" s="189"/>
      <c r="M294" s="183"/>
      <c r="N294" s="37"/>
      <c r="O294" s="32"/>
      <c r="P294" s="32"/>
      <c r="Q294" s="32"/>
      <c r="R294" s="32"/>
      <c r="S294" s="32"/>
      <c r="T294" s="32"/>
      <c r="U294" s="32"/>
      <c r="V294" s="32"/>
      <c r="W294" s="32"/>
      <c r="X294" s="32"/>
      <c r="Y294" s="32"/>
      <c r="Z294" s="32"/>
      <c r="AA294" s="32"/>
      <c r="AB294" s="32"/>
    </row>
    <row r="295" spans="2:28" x14ac:dyDescent="0.2">
      <c r="B295" s="189" t="s">
        <v>450</v>
      </c>
      <c r="C295" s="190"/>
      <c r="D295" s="189"/>
      <c r="E295" s="189"/>
      <c r="F295" s="189"/>
      <c r="G295" s="195"/>
      <c r="H295" s="173" t="s">
        <v>256</v>
      </c>
      <c r="I295" s="189"/>
      <c r="J295" s="190"/>
      <c r="K295" s="189"/>
      <c r="L295" s="189"/>
      <c r="M295" s="91">
        <f>+M304+M297</f>
        <v>6988476000</v>
      </c>
      <c r="N295" s="37"/>
      <c r="O295" s="32"/>
      <c r="P295" s="32"/>
      <c r="Q295" s="32"/>
      <c r="R295" s="32"/>
      <c r="S295" s="32"/>
      <c r="T295" s="32"/>
      <c r="U295" s="32"/>
      <c r="V295" s="32"/>
      <c r="W295" s="32"/>
      <c r="X295" s="32"/>
      <c r="Y295" s="32"/>
      <c r="Z295" s="32"/>
      <c r="AA295" s="32"/>
      <c r="AB295" s="32"/>
    </row>
    <row r="296" spans="2:28" ht="25.5" x14ac:dyDescent="0.2">
      <c r="B296" s="189"/>
      <c r="C296" s="190"/>
      <c r="D296" s="189"/>
      <c r="E296" s="196">
        <v>621</v>
      </c>
      <c r="F296" s="189" t="s">
        <v>268</v>
      </c>
      <c r="G296" s="195"/>
      <c r="H296" s="80" t="s">
        <v>664</v>
      </c>
      <c r="I296" s="197">
        <v>8.1999999999999993</v>
      </c>
      <c r="J296" s="190" t="s">
        <v>440</v>
      </c>
      <c r="K296" s="196"/>
      <c r="L296" s="189" t="s">
        <v>422</v>
      </c>
      <c r="M296" s="194"/>
      <c r="N296" s="37"/>
      <c r="O296" s="32"/>
      <c r="P296" s="32"/>
      <c r="Q296" s="32"/>
      <c r="R296" s="32"/>
      <c r="S296" s="32"/>
      <c r="T296" s="32"/>
      <c r="U296" s="32"/>
      <c r="V296" s="32"/>
      <c r="W296" s="32"/>
      <c r="X296" s="32"/>
      <c r="Y296" s="32"/>
      <c r="Z296" s="32"/>
      <c r="AA296" s="32"/>
      <c r="AB296" s="32"/>
    </row>
    <row r="297" spans="2:28" x14ac:dyDescent="0.2">
      <c r="B297" s="214" t="s">
        <v>857</v>
      </c>
      <c r="C297" s="190"/>
      <c r="D297" s="189"/>
      <c r="E297" s="196"/>
      <c r="F297" s="189"/>
      <c r="G297" s="195"/>
      <c r="H297" s="173" t="s">
        <v>312</v>
      </c>
      <c r="I297" s="189"/>
      <c r="J297" s="190"/>
      <c r="K297" s="196"/>
      <c r="L297" s="189"/>
      <c r="M297" s="217">
        <f>+M299+M301</f>
        <v>1500000000</v>
      </c>
      <c r="N297" s="37"/>
      <c r="O297" s="32"/>
      <c r="P297" s="32"/>
      <c r="Q297" s="32"/>
      <c r="R297" s="32"/>
      <c r="S297" s="32"/>
      <c r="T297" s="32"/>
      <c r="U297" s="32"/>
      <c r="V297" s="32"/>
      <c r="W297" s="32"/>
      <c r="X297" s="32"/>
      <c r="Y297" s="32"/>
      <c r="Z297" s="32"/>
      <c r="AA297" s="32"/>
      <c r="AB297" s="32"/>
    </row>
    <row r="298" spans="2:28" ht="38.25" x14ac:dyDescent="0.2">
      <c r="B298" s="189"/>
      <c r="C298" s="190"/>
      <c r="D298" s="189" t="s">
        <v>952</v>
      </c>
      <c r="E298" s="196">
        <v>585</v>
      </c>
      <c r="F298" s="189" t="s">
        <v>1080</v>
      </c>
      <c r="G298" s="195"/>
      <c r="H298" s="80" t="s">
        <v>166</v>
      </c>
      <c r="I298" s="196">
        <v>84</v>
      </c>
      <c r="J298" s="190" t="s">
        <v>240</v>
      </c>
      <c r="K298" s="196">
        <v>77</v>
      </c>
      <c r="L298" s="189" t="s">
        <v>1540</v>
      </c>
      <c r="M298" s="194"/>
      <c r="N298" s="37"/>
      <c r="O298" s="32"/>
      <c r="P298" s="32"/>
      <c r="Q298" s="32"/>
      <c r="R298" s="32"/>
      <c r="S298" s="32"/>
      <c r="T298" s="32"/>
      <c r="U298" s="32"/>
      <c r="V298" s="32"/>
      <c r="W298" s="32"/>
      <c r="X298" s="32"/>
      <c r="Y298" s="32"/>
      <c r="Z298" s="32"/>
      <c r="AA298" s="32"/>
      <c r="AB298" s="32"/>
    </row>
    <row r="299" spans="2:28" ht="51" x14ac:dyDescent="0.2">
      <c r="B299" s="189"/>
      <c r="C299" s="190" t="s">
        <v>1159</v>
      </c>
      <c r="D299" s="189"/>
      <c r="E299" s="196"/>
      <c r="F299" s="189"/>
      <c r="G299" s="195">
        <v>296034</v>
      </c>
      <c r="H299" s="80" t="s">
        <v>1248</v>
      </c>
      <c r="I299" s="197"/>
      <c r="J299" s="190"/>
      <c r="K299" s="196"/>
      <c r="L299" s="189"/>
      <c r="M299" s="217">
        <f>+M300</f>
        <v>500000000</v>
      </c>
      <c r="N299" s="37"/>
      <c r="O299" s="32"/>
      <c r="P299" s="32"/>
      <c r="Q299" s="32"/>
      <c r="R299" s="32"/>
      <c r="S299" s="32"/>
      <c r="T299" s="32"/>
      <c r="U299" s="32"/>
      <c r="V299" s="32"/>
      <c r="W299" s="32"/>
      <c r="X299" s="32"/>
      <c r="Y299" s="32"/>
      <c r="Z299" s="32"/>
      <c r="AA299" s="32"/>
      <c r="AB299" s="32"/>
    </row>
    <row r="300" spans="2:28" x14ac:dyDescent="0.2">
      <c r="B300" s="189"/>
      <c r="C300" s="190"/>
      <c r="D300" s="189"/>
      <c r="E300" s="196"/>
      <c r="F300" s="189"/>
      <c r="G300" s="195"/>
      <c r="H300" s="80" t="s">
        <v>1158</v>
      </c>
      <c r="I300" s="197"/>
      <c r="J300" s="190"/>
      <c r="K300" s="196"/>
      <c r="L300" s="189"/>
      <c r="M300" s="217">
        <v>500000000</v>
      </c>
      <c r="N300" s="37"/>
      <c r="O300" s="32"/>
      <c r="P300" s="32"/>
      <c r="Q300" s="32"/>
      <c r="R300" s="32"/>
      <c r="S300" s="32"/>
      <c r="T300" s="32"/>
      <c r="U300" s="32"/>
      <c r="V300" s="32"/>
      <c r="W300" s="32"/>
      <c r="X300" s="32"/>
      <c r="Y300" s="32"/>
      <c r="Z300" s="32"/>
      <c r="AA300" s="32"/>
      <c r="AB300" s="32"/>
    </row>
    <row r="301" spans="2:28" ht="51" x14ac:dyDescent="0.2">
      <c r="B301" s="189"/>
      <c r="C301" s="190" t="s">
        <v>10</v>
      </c>
      <c r="D301" s="189"/>
      <c r="E301" s="196"/>
      <c r="F301" s="189"/>
      <c r="G301" s="195">
        <v>296034</v>
      </c>
      <c r="H301" s="80" t="s">
        <v>872</v>
      </c>
      <c r="I301" s="197"/>
      <c r="J301" s="190"/>
      <c r="K301" s="196"/>
      <c r="L301" s="189"/>
      <c r="M301" s="217">
        <f>+M302</f>
        <v>1000000000</v>
      </c>
      <c r="N301" s="37"/>
      <c r="O301" s="32"/>
      <c r="P301" s="32"/>
      <c r="Q301" s="32"/>
      <c r="R301" s="32"/>
      <c r="S301" s="32"/>
      <c r="T301" s="32"/>
      <c r="U301" s="32"/>
      <c r="V301" s="32"/>
      <c r="W301" s="32"/>
      <c r="X301" s="32"/>
      <c r="Y301" s="32"/>
      <c r="Z301" s="32"/>
      <c r="AA301" s="32"/>
      <c r="AB301" s="32"/>
    </row>
    <row r="302" spans="2:28" x14ac:dyDescent="0.2">
      <c r="B302" s="189"/>
      <c r="C302" s="190"/>
      <c r="D302" s="189"/>
      <c r="E302" s="196"/>
      <c r="F302" s="189"/>
      <c r="G302" s="195"/>
      <c r="H302" s="80" t="s">
        <v>1158</v>
      </c>
      <c r="I302" s="197"/>
      <c r="J302" s="190"/>
      <c r="K302" s="196"/>
      <c r="L302" s="189"/>
      <c r="M302" s="217">
        <v>1000000000</v>
      </c>
      <c r="N302" s="37"/>
      <c r="O302" s="32"/>
      <c r="P302" s="32"/>
      <c r="Q302" s="32"/>
      <c r="R302" s="32"/>
      <c r="S302" s="32"/>
      <c r="T302" s="32"/>
      <c r="U302" s="32"/>
      <c r="V302" s="32"/>
      <c r="W302" s="32"/>
      <c r="X302" s="32"/>
      <c r="Y302" s="32"/>
      <c r="Z302" s="32"/>
      <c r="AA302" s="32"/>
      <c r="AB302" s="32"/>
    </row>
    <row r="303" spans="2:28" x14ac:dyDescent="0.2">
      <c r="B303" s="189"/>
      <c r="C303" s="190"/>
      <c r="D303" s="189"/>
      <c r="E303" s="196"/>
      <c r="F303" s="189"/>
      <c r="G303" s="195"/>
      <c r="H303" s="80"/>
      <c r="I303" s="197"/>
      <c r="J303" s="190"/>
      <c r="K303" s="196"/>
      <c r="L303" s="189"/>
      <c r="M303" s="217"/>
      <c r="N303" s="37"/>
      <c r="O303" s="32"/>
      <c r="P303" s="32"/>
      <c r="Q303" s="32"/>
      <c r="R303" s="32"/>
      <c r="S303" s="32"/>
      <c r="T303" s="32"/>
      <c r="U303" s="32"/>
      <c r="V303" s="32"/>
      <c r="W303" s="32"/>
      <c r="X303" s="32"/>
      <c r="Y303" s="32"/>
      <c r="Z303" s="32"/>
      <c r="AA303" s="32"/>
      <c r="AB303" s="32"/>
    </row>
    <row r="304" spans="2:28" ht="25.5" x14ac:dyDescent="0.2">
      <c r="B304" s="189" t="s">
        <v>497</v>
      </c>
      <c r="C304" s="190"/>
      <c r="D304" s="189"/>
      <c r="E304" s="189"/>
      <c r="F304" s="189"/>
      <c r="G304" s="195"/>
      <c r="H304" s="173" t="s">
        <v>708</v>
      </c>
      <c r="I304" s="189"/>
      <c r="J304" s="190"/>
      <c r="K304" s="189"/>
      <c r="L304" s="189"/>
      <c r="M304" s="91">
        <f>+M307+M309</f>
        <v>5488476000</v>
      </c>
      <c r="N304" s="37"/>
      <c r="O304" s="32"/>
      <c r="P304" s="32"/>
      <c r="Q304" s="32"/>
      <c r="R304" s="32"/>
      <c r="S304" s="32"/>
      <c r="T304" s="32"/>
      <c r="U304" s="32"/>
      <c r="V304" s="32"/>
      <c r="W304" s="32"/>
      <c r="X304" s="32"/>
      <c r="Y304" s="32"/>
      <c r="Z304" s="32"/>
      <c r="AA304" s="32"/>
      <c r="AB304" s="32"/>
    </row>
    <row r="305" spans="2:28" ht="38.25" x14ac:dyDescent="0.2">
      <c r="B305" s="189"/>
      <c r="C305" s="190"/>
      <c r="D305" s="189" t="s">
        <v>63</v>
      </c>
      <c r="E305" s="196">
        <v>584</v>
      </c>
      <c r="F305" s="189" t="s">
        <v>1080</v>
      </c>
      <c r="G305" s="195"/>
      <c r="H305" s="80" t="s">
        <v>250</v>
      </c>
      <c r="I305" s="196">
        <v>100</v>
      </c>
      <c r="J305" s="190" t="s">
        <v>179</v>
      </c>
      <c r="K305" s="196" t="s">
        <v>1510</v>
      </c>
      <c r="L305" s="189" t="s">
        <v>1217</v>
      </c>
      <c r="M305" s="194"/>
      <c r="N305" s="37"/>
      <c r="O305" s="32"/>
      <c r="P305" s="32"/>
      <c r="Q305" s="32"/>
      <c r="R305" s="32"/>
      <c r="S305" s="32"/>
      <c r="T305" s="32"/>
      <c r="U305" s="32"/>
      <c r="V305" s="32"/>
      <c r="W305" s="32"/>
      <c r="X305" s="32"/>
      <c r="Y305" s="32"/>
      <c r="Z305" s="32"/>
      <c r="AA305" s="32"/>
      <c r="AB305" s="32"/>
    </row>
    <row r="306" spans="2:28" ht="38.25" x14ac:dyDescent="0.2">
      <c r="B306" s="189"/>
      <c r="C306" s="190"/>
      <c r="D306" s="189" t="s">
        <v>952</v>
      </c>
      <c r="E306" s="196">
        <v>585</v>
      </c>
      <c r="F306" s="189" t="s">
        <v>1080</v>
      </c>
      <c r="G306" s="195"/>
      <c r="H306" s="80" t="s">
        <v>166</v>
      </c>
      <c r="I306" s="196">
        <v>84</v>
      </c>
      <c r="J306" s="190" t="s">
        <v>240</v>
      </c>
      <c r="K306" s="196">
        <v>77</v>
      </c>
      <c r="L306" s="189" t="s">
        <v>1209</v>
      </c>
      <c r="M306" s="194"/>
      <c r="N306" s="37"/>
      <c r="O306" s="32"/>
      <c r="P306" s="32"/>
      <c r="Q306" s="32"/>
      <c r="R306" s="32"/>
      <c r="S306" s="32"/>
      <c r="T306" s="32"/>
      <c r="U306" s="32"/>
      <c r="V306" s="32"/>
      <c r="W306" s="32"/>
      <c r="X306" s="32"/>
      <c r="Y306" s="32"/>
      <c r="Z306" s="32"/>
      <c r="AA306" s="32"/>
      <c r="AB306" s="32"/>
    </row>
    <row r="307" spans="2:28" ht="38.25" x14ac:dyDescent="0.2">
      <c r="B307" s="189"/>
      <c r="C307" s="190" t="s">
        <v>10</v>
      </c>
      <c r="D307" s="189"/>
      <c r="E307" s="189"/>
      <c r="F307" s="189"/>
      <c r="G307" s="195">
        <v>296051</v>
      </c>
      <c r="H307" s="80" t="s">
        <v>271</v>
      </c>
      <c r="I307" s="189"/>
      <c r="J307" s="190"/>
      <c r="K307" s="189"/>
      <c r="L307" s="189"/>
      <c r="M307" s="183">
        <f>+M308</f>
        <v>1000000000</v>
      </c>
      <c r="N307" s="37"/>
      <c r="O307" s="32"/>
      <c r="P307" s="32"/>
      <c r="Q307" s="32"/>
      <c r="R307" s="32"/>
      <c r="S307" s="32"/>
      <c r="T307" s="32"/>
      <c r="U307" s="32"/>
      <c r="V307" s="32"/>
      <c r="W307" s="32"/>
      <c r="X307" s="32"/>
      <c r="Y307" s="32"/>
      <c r="Z307" s="32"/>
      <c r="AA307" s="32"/>
      <c r="AB307" s="32"/>
    </row>
    <row r="308" spans="2:28" x14ac:dyDescent="0.2">
      <c r="B308" s="189"/>
      <c r="C308" s="190"/>
      <c r="D308" s="189"/>
      <c r="E308" s="189"/>
      <c r="F308" s="189"/>
      <c r="G308" s="195"/>
      <c r="H308" s="80" t="s">
        <v>835</v>
      </c>
      <c r="I308" s="189"/>
      <c r="J308" s="190"/>
      <c r="K308" s="189"/>
      <c r="L308" s="189"/>
      <c r="M308" s="183">
        <v>1000000000</v>
      </c>
      <c r="N308" s="37"/>
      <c r="O308" s="32"/>
      <c r="P308" s="32"/>
      <c r="Q308" s="32"/>
      <c r="R308" s="32"/>
      <c r="S308" s="32"/>
      <c r="T308" s="32"/>
      <c r="U308" s="32"/>
      <c r="V308" s="32"/>
      <c r="W308" s="32"/>
      <c r="X308" s="32"/>
      <c r="Y308" s="32"/>
      <c r="Z308" s="32"/>
      <c r="AA308" s="32"/>
      <c r="AB308" s="32"/>
    </row>
    <row r="309" spans="2:28" ht="51" x14ac:dyDescent="0.2">
      <c r="B309" s="189"/>
      <c r="C309" s="190" t="s">
        <v>10</v>
      </c>
      <c r="D309" s="189"/>
      <c r="E309" s="189"/>
      <c r="F309" s="189"/>
      <c r="G309" s="195">
        <v>296034</v>
      </c>
      <c r="H309" s="80" t="s">
        <v>872</v>
      </c>
      <c r="I309" s="189"/>
      <c r="J309" s="190"/>
      <c r="K309" s="189"/>
      <c r="L309" s="189"/>
      <c r="M309" s="183">
        <f>+M310+M311</f>
        <v>4488476000</v>
      </c>
      <c r="N309" s="37"/>
      <c r="O309" s="32"/>
      <c r="P309" s="32"/>
      <c r="Q309" s="32"/>
      <c r="R309" s="32"/>
      <c r="S309" s="32"/>
      <c r="T309" s="32"/>
      <c r="U309" s="32"/>
      <c r="V309" s="32"/>
      <c r="W309" s="32"/>
      <c r="X309" s="32"/>
      <c r="Y309" s="32"/>
      <c r="Z309" s="32"/>
      <c r="AA309" s="32"/>
      <c r="AB309" s="32"/>
    </row>
    <row r="310" spans="2:28" x14ac:dyDescent="0.2">
      <c r="B310" s="189"/>
      <c r="C310" s="190"/>
      <c r="D310" s="189"/>
      <c r="E310" s="189"/>
      <c r="F310" s="189"/>
      <c r="G310" s="195"/>
      <c r="H310" s="80" t="s">
        <v>835</v>
      </c>
      <c r="I310" s="189"/>
      <c r="J310" s="190"/>
      <c r="K310" s="189"/>
      <c r="L310" s="189"/>
      <c r="M310" s="183">
        <f>4500000000-1000000000+488476000</f>
        <v>3988476000</v>
      </c>
      <c r="N310" s="37"/>
      <c r="O310" s="32"/>
      <c r="P310" s="32"/>
      <c r="Q310" s="32"/>
      <c r="R310" s="32"/>
      <c r="S310" s="32"/>
      <c r="T310" s="32"/>
      <c r="U310" s="32"/>
      <c r="V310" s="32"/>
      <c r="W310" s="32"/>
      <c r="X310" s="32"/>
      <c r="Y310" s="32"/>
      <c r="Z310" s="32"/>
      <c r="AA310" s="32"/>
      <c r="AB310" s="32"/>
    </row>
    <row r="311" spans="2:28" x14ac:dyDescent="0.2">
      <c r="B311" s="189"/>
      <c r="C311" s="190"/>
      <c r="D311" s="189"/>
      <c r="E311" s="189"/>
      <c r="F311" s="189"/>
      <c r="G311" s="195"/>
      <c r="H311" s="80" t="s">
        <v>1158</v>
      </c>
      <c r="I311" s="189"/>
      <c r="J311" s="190"/>
      <c r="K311" s="189"/>
      <c r="L311" s="189"/>
      <c r="M311" s="183">
        <v>500000000</v>
      </c>
      <c r="N311" s="37"/>
      <c r="O311" s="32"/>
      <c r="P311" s="32"/>
      <c r="Q311" s="32"/>
      <c r="R311" s="32"/>
      <c r="S311" s="32"/>
      <c r="T311" s="32"/>
      <c r="U311" s="32"/>
      <c r="V311" s="32"/>
      <c r="W311" s="32"/>
      <c r="X311" s="32"/>
      <c r="Y311" s="32"/>
      <c r="Z311" s="32"/>
      <c r="AA311" s="32"/>
      <c r="AB311" s="32"/>
    </row>
    <row r="312" spans="2:28" x14ac:dyDescent="0.2">
      <c r="B312" s="189"/>
      <c r="C312" s="190"/>
      <c r="D312" s="189"/>
      <c r="E312" s="189"/>
      <c r="F312" s="189"/>
      <c r="G312" s="195"/>
      <c r="H312" s="80"/>
      <c r="I312" s="189"/>
      <c r="J312" s="190"/>
      <c r="K312" s="189"/>
      <c r="L312" s="189"/>
      <c r="M312" s="183"/>
      <c r="N312" s="37"/>
      <c r="O312" s="32"/>
      <c r="P312" s="32"/>
      <c r="Q312" s="32"/>
      <c r="R312" s="32"/>
      <c r="S312" s="32"/>
      <c r="T312" s="32"/>
      <c r="U312" s="32"/>
      <c r="V312" s="32"/>
      <c r="W312" s="32"/>
      <c r="X312" s="32"/>
      <c r="Y312" s="32"/>
      <c r="Z312" s="32"/>
      <c r="AA312" s="32"/>
      <c r="AB312" s="32"/>
    </row>
    <row r="313" spans="2:28" ht="30" x14ac:dyDescent="0.25">
      <c r="B313" s="189"/>
      <c r="C313" s="190"/>
      <c r="D313" s="189"/>
      <c r="E313" s="189"/>
      <c r="F313" s="189"/>
      <c r="G313" s="195"/>
      <c r="H313" s="207" t="s">
        <v>259</v>
      </c>
      <c r="I313" s="208"/>
      <c r="J313" s="207"/>
      <c r="K313" s="208"/>
      <c r="L313" s="208"/>
      <c r="M313" s="202">
        <f>+M9+M153+M174</f>
        <v>294997023000</v>
      </c>
      <c r="N313" s="37"/>
      <c r="O313" s="32"/>
      <c r="P313" s="32"/>
      <c r="Q313" s="32"/>
      <c r="R313" s="32"/>
      <c r="S313" s="32"/>
      <c r="T313" s="32"/>
      <c r="U313" s="32"/>
      <c r="V313" s="32"/>
      <c r="W313" s="32"/>
      <c r="X313" s="32"/>
      <c r="Y313" s="32"/>
      <c r="Z313" s="32"/>
      <c r="AA313" s="32"/>
      <c r="AB313" s="32"/>
    </row>
    <row r="314" spans="2:28" x14ac:dyDescent="0.2">
      <c r="B314" s="192"/>
      <c r="C314" s="193"/>
      <c r="D314" s="192"/>
      <c r="E314" s="192"/>
      <c r="F314" s="192"/>
      <c r="G314" s="195"/>
      <c r="H314" s="80"/>
      <c r="I314" s="189"/>
      <c r="J314" s="190"/>
      <c r="K314" s="189"/>
      <c r="L314" s="189"/>
      <c r="M314" s="183"/>
      <c r="N314" s="32"/>
      <c r="O314" s="32"/>
      <c r="P314" s="32"/>
      <c r="Q314" s="32"/>
      <c r="R314" s="32"/>
      <c r="S314" s="32"/>
      <c r="T314" s="32"/>
      <c r="U314" s="32"/>
      <c r="V314" s="32"/>
      <c r="W314" s="32"/>
      <c r="X314" s="32"/>
      <c r="Y314" s="32"/>
      <c r="Z314" s="32"/>
      <c r="AA314" s="32"/>
      <c r="AB314" s="32"/>
    </row>
    <row r="315" spans="2:28" x14ac:dyDescent="0.2">
      <c r="B315" s="192"/>
      <c r="C315" s="193"/>
      <c r="D315" s="192"/>
      <c r="E315" s="192"/>
      <c r="F315" s="192"/>
      <c r="G315" s="195"/>
      <c r="H315" s="170"/>
      <c r="I315" s="192"/>
      <c r="J315" s="193"/>
      <c r="K315" s="192"/>
      <c r="L315" s="192"/>
      <c r="M315" s="175"/>
      <c r="N315" s="32"/>
      <c r="O315" s="32"/>
      <c r="P315" s="32"/>
      <c r="Q315" s="32"/>
      <c r="R315" s="32"/>
      <c r="S315" s="32"/>
      <c r="T315" s="32"/>
      <c r="U315" s="32"/>
      <c r="V315" s="32"/>
      <c r="W315" s="32"/>
      <c r="X315" s="32"/>
      <c r="Y315" s="32"/>
      <c r="Z315" s="32"/>
      <c r="AA315" s="32"/>
      <c r="AB315" s="32"/>
    </row>
    <row r="316" spans="2:28" x14ac:dyDescent="0.2">
      <c r="B316" s="192"/>
      <c r="C316" s="193"/>
      <c r="D316" s="192"/>
      <c r="E316" s="192"/>
      <c r="F316" s="192"/>
      <c r="G316" s="192"/>
      <c r="H316" s="170"/>
      <c r="I316" s="192"/>
      <c r="J316" s="193"/>
      <c r="K316" s="192"/>
      <c r="L316" s="192"/>
      <c r="M316" s="175"/>
    </row>
    <row r="317" spans="2:28" x14ac:dyDescent="0.2">
      <c r="B317" s="192"/>
      <c r="C317" s="193"/>
      <c r="D317" s="192"/>
      <c r="E317" s="192"/>
      <c r="F317" s="192"/>
      <c r="G317" s="192"/>
      <c r="H317" s="170"/>
      <c r="I317" s="192"/>
      <c r="J317" s="193"/>
      <c r="K317" s="192"/>
      <c r="L317" s="192"/>
      <c r="M317" s="175"/>
    </row>
    <row r="318" spans="2:28" x14ac:dyDescent="0.2">
      <c r="B318" s="192"/>
      <c r="C318" s="193"/>
      <c r="D318" s="192"/>
      <c r="E318" s="192"/>
      <c r="F318" s="192"/>
      <c r="G318" s="192"/>
      <c r="H318" s="170"/>
      <c r="I318" s="192"/>
      <c r="J318" s="193"/>
      <c r="K318" s="192"/>
      <c r="L318" s="192"/>
      <c r="M318" s="175"/>
    </row>
    <row r="319" spans="2:28" x14ac:dyDescent="0.2">
      <c r="B319" s="192"/>
      <c r="C319" s="193"/>
      <c r="D319" s="192"/>
      <c r="E319" s="192"/>
      <c r="F319" s="192"/>
      <c r="G319" s="192"/>
      <c r="H319" s="170"/>
      <c r="I319" s="192"/>
      <c r="J319" s="193"/>
      <c r="K319" s="192"/>
      <c r="L319" s="192"/>
      <c r="M319" s="175"/>
    </row>
    <row r="320" spans="2:28" x14ac:dyDescent="0.2">
      <c r="B320" s="192"/>
      <c r="C320" s="193"/>
      <c r="D320" s="192"/>
      <c r="E320" s="192"/>
      <c r="F320" s="192"/>
      <c r="G320" s="192"/>
      <c r="H320" s="170"/>
      <c r="I320" s="192"/>
      <c r="J320" s="193"/>
      <c r="K320" s="192"/>
      <c r="L320" s="192"/>
      <c r="M320" s="175"/>
    </row>
    <row r="321" spans="2:13" x14ac:dyDescent="0.2">
      <c r="B321" s="192"/>
      <c r="C321" s="193"/>
      <c r="D321" s="192"/>
      <c r="E321" s="192"/>
      <c r="F321" s="192"/>
      <c r="G321" s="192"/>
      <c r="H321" s="170"/>
      <c r="I321" s="192"/>
      <c r="J321" s="193"/>
      <c r="K321" s="192"/>
      <c r="L321" s="192"/>
      <c r="M321" s="175"/>
    </row>
    <row r="322" spans="2:13" x14ac:dyDescent="0.2">
      <c r="B322" s="192"/>
      <c r="C322" s="193"/>
      <c r="D322" s="192"/>
      <c r="E322" s="192"/>
      <c r="F322" s="192"/>
      <c r="G322" s="192"/>
      <c r="H322" s="170"/>
      <c r="I322" s="192"/>
      <c r="J322" s="193"/>
      <c r="K322" s="192"/>
      <c r="L322" s="192"/>
      <c r="M322" s="175"/>
    </row>
    <row r="323" spans="2:13" x14ac:dyDescent="0.2">
      <c r="B323" s="192"/>
      <c r="C323" s="193"/>
      <c r="D323" s="192"/>
      <c r="E323" s="192"/>
      <c r="F323" s="192"/>
      <c r="G323" s="192"/>
      <c r="H323" s="170"/>
      <c r="I323" s="192"/>
      <c r="J323" s="193"/>
      <c r="K323" s="192"/>
      <c r="L323" s="192"/>
      <c r="M323" s="175"/>
    </row>
    <row r="324" spans="2:13" x14ac:dyDescent="0.2">
      <c r="B324" s="192"/>
      <c r="C324" s="193"/>
      <c r="D324" s="192"/>
      <c r="E324" s="192"/>
      <c r="F324" s="192"/>
      <c r="G324" s="192"/>
      <c r="H324" s="170"/>
      <c r="I324" s="192"/>
      <c r="J324" s="193"/>
      <c r="K324" s="192"/>
      <c r="L324" s="192"/>
      <c r="M324" s="175"/>
    </row>
    <row r="325" spans="2:13" x14ac:dyDescent="0.2">
      <c r="B325" s="192"/>
      <c r="C325" s="193"/>
      <c r="D325" s="192"/>
      <c r="E325" s="192"/>
      <c r="F325" s="192"/>
      <c r="G325" s="192"/>
      <c r="H325" s="170"/>
      <c r="I325" s="192"/>
      <c r="J325" s="193"/>
      <c r="K325" s="192"/>
      <c r="L325" s="192"/>
      <c r="M325" s="175"/>
    </row>
    <row r="326" spans="2:13" x14ac:dyDescent="0.2">
      <c r="B326" s="192"/>
      <c r="C326" s="193"/>
      <c r="D326" s="192"/>
      <c r="E326" s="192"/>
      <c r="F326" s="192"/>
      <c r="G326" s="192"/>
      <c r="H326" s="170"/>
      <c r="I326" s="192"/>
      <c r="J326" s="193"/>
      <c r="K326" s="192"/>
      <c r="L326" s="192"/>
      <c r="M326" s="175"/>
    </row>
    <row r="327" spans="2:13" x14ac:dyDescent="0.2">
      <c r="B327" s="192"/>
      <c r="C327" s="193"/>
      <c r="D327" s="192"/>
      <c r="E327" s="192"/>
      <c r="F327" s="192"/>
      <c r="G327" s="192"/>
      <c r="H327" s="170"/>
      <c r="I327" s="192"/>
      <c r="J327" s="193"/>
      <c r="K327" s="192"/>
      <c r="L327" s="192"/>
      <c r="M327" s="175"/>
    </row>
    <row r="328" spans="2:13" x14ac:dyDescent="0.2">
      <c r="B328" s="192"/>
      <c r="C328" s="193"/>
      <c r="D328" s="192"/>
      <c r="E328" s="192"/>
      <c r="F328" s="192"/>
      <c r="G328" s="192"/>
      <c r="H328" s="170"/>
      <c r="I328" s="192"/>
      <c r="J328" s="193"/>
      <c r="K328" s="192"/>
      <c r="L328" s="192"/>
      <c r="M328" s="175"/>
    </row>
    <row r="329" spans="2:13" x14ac:dyDescent="0.2">
      <c r="B329" s="192"/>
      <c r="C329" s="193"/>
      <c r="D329" s="192"/>
      <c r="E329" s="192"/>
      <c r="F329" s="192"/>
      <c r="G329" s="192"/>
      <c r="H329" s="170"/>
      <c r="I329" s="192"/>
      <c r="J329" s="193"/>
      <c r="K329" s="192"/>
      <c r="L329" s="192"/>
      <c r="M329" s="175"/>
    </row>
    <row r="330" spans="2:13" x14ac:dyDescent="0.2">
      <c r="B330" s="192"/>
      <c r="C330" s="193"/>
      <c r="D330" s="192"/>
      <c r="E330" s="192"/>
      <c r="F330" s="192"/>
      <c r="G330" s="192"/>
      <c r="H330" s="170"/>
      <c r="I330" s="192"/>
      <c r="J330" s="193"/>
      <c r="K330" s="192"/>
      <c r="L330" s="192"/>
      <c r="M330" s="175"/>
    </row>
    <row r="331" spans="2:13" x14ac:dyDescent="0.2">
      <c r="B331" s="192"/>
      <c r="C331" s="193"/>
      <c r="D331" s="192"/>
      <c r="E331" s="192"/>
      <c r="F331" s="192"/>
      <c r="G331" s="192"/>
      <c r="H331" s="170"/>
      <c r="I331" s="192"/>
      <c r="J331" s="193"/>
      <c r="K331" s="192"/>
      <c r="L331" s="192"/>
      <c r="M331" s="175"/>
    </row>
    <row r="332" spans="2:13" x14ac:dyDescent="0.2">
      <c r="B332" s="192"/>
      <c r="C332" s="193"/>
      <c r="D332" s="192"/>
      <c r="E332" s="192"/>
      <c r="F332" s="192"/>
      <c r="G332" s="192"/>
      <c r="H332" s="170"/>
      <c r="I332" s="192"/>
      <c r="J332" s="193"/>
      <c r="K332" s="192"/>
      <c r="L332" s="192"/>
      <c r="M332" s="175"/>
    </row>
    <row r="333" spans="2:13" x14ac:dyDescent="0.2">
      <c r="B333" s="192"/>
      <c r="C333" s="193"/>
      <c r="D333" s="192"/>
      <c r="E333" s="192"/>
      <c r="F333" s="192"/>
      <c r="G333" s="192"/>
      <c r="H333" s="170"/>
      <c r="I333" s="192"/>
      <c r="J333" s="193"/>
      <c r="K333" s="192"/>
      <c r="L333" s="192"/>
      <c r="M333" s="175"/>
    </row>
    <row r="334" spans="2:13" x14ac:dyDescent="0.2">
      <c r="B334" s="192"/>
      <c r="C334" s="193"/>
      <c r="D334" s="192"/>
      <c r="E334" s="192"/>
      <c r="F334" s="192"/>
      <c r="G334" s="192"/>
      <c r="H334" s="170"/>
      <c r="I334" s="192"/>
      <c r="J334" s="193"/>
      <c r="K334" s="192"/>
      <c r="L334" s="192"/>
      <c r="M334" s="175"/>
    </row>
    <row r="335" spans="2:13" x14ac:dyDescent="0.2">
      <c r="B335" s="192"/>
      <c r="C335" s="193"/>
      <c r="D335" s="192"/>
      <c r="E335" s="192"/>
      <c r="F335" s="192"/>
      <c r="G335" s="192"/>
      <c r="H335" s="170"/>
      <c r="I335" s="192"/>
      <c r="J335" s="193"/>
      <c r="K335" s="192"/>
      <c r="L335" s="192"/>
      <c r="M335" s="175"/>
    </row>
    <row r="336" spans="2:13" x14ac:dyDescent="0.2">
      <c r="B336" s="192"/>
      <c r="C336" s="193"/>
      <c r="D336" s="192"/>
      <c r="E336" s="192"/>
      <c r="F336" s="192"/>
      <c r="G336" s="192"/>
      <c r="H336" s="170"/>
      <c r="I336" s="192"/>
      <c r="J336" s="193"/>
      <c r="K336" s="192"/>
      <c r="L336" s="192"/>
      <c r="M336" s="175"/>
    </row>
    <row r="337" spans="2:13" x14ac:dyDescent="0.2">
      <c r="B337" s="192"/>
      <c r="C337" s="193"/>
      <c r="D337" s="192"/>
      <c r="E337" s="192"/>
      <c r="F337" s="192"/>
      <c r="G337" s="192"/>
      <c r="H337" s="170"/>
      <c r="I337" s="192"/>
      <c r="J337" s="193"/>
      <c r="K337" s="192"/>
      <c r="L337" s="192"/>
      <c r="M337" s="175"/>
    </row>
    <row r="338" spans="2:13" x14ac:dyDescent="0.2">
      <c r="B338" s="192"/>
      <c r="C338" s="193"/>
      <c r="D338" s="192"/>
      <c r="E338" s="192"/>
      <c r="F338" s="192"/>
      <c r="G338" s="192"/>
      <c r="H338" s="170"/>
      <c r="I338" s="192"/>
      <c r="J338" s="193"/>
      <c r="K338" s="192"/>
      <c r="L338" s="192"/>
      <c r="M338" s="175"/>
    </row>
    <row r="339" spans="2:13" x14ac:dyDescent="0.2">
      <c r="B339" s="192"/>
      <c r="C339" s="193"/>
      <c r="D339" s="192"/>
      <c r="E339" s="192"/>
      <c r="F339" s="192"/>
      <c r="G339" s="192"/>
      <c r="H339" s="170"/>
      <c r="I339" s="192"/>
      <c r="J339" s="193"/>
      <c r="K339" s="192"/>
      <c r="L339" s="192"/>
      <c r="M339" s="175"/>
    </row>
    <row r="340" spans="2:13" x14ac:dyDescent="0.2">
      <c r="B340" s="192"/>
      <c r="C340" s="193"/>
      <c r="D340" s="192"/>
      <c r="E340" s="192"/>
      <c r="F340" s="192"/>
      <c r="G340" s="192"/>
      <c r="H340" s="170"/>
      <c r="I340" s="192"/>
      <c r="J340" s="193"/>
      <c r="K340" s="192"/>
      <c r="L340" s="192"/>
      <c r="M340" s="175"/>
    </row>
    <row r="341" spans="2:13" x14ac:dyDescent="0.2">
      <c r="B341" s="192"/>
      <c r="C341" s="193"/>
      <c r="D341" s="192"/>
      <c r="E341" s="192"/>
      <c r="F341" s="192"/>
      <c r="G341" s="192"/>
      <c r="H341" s="170"/>
      <c r="I341" s="192"/>
      <c r="J341" s="193"/>
      <c r="K341" s="192"/>
      <c r="L341" s="192"/>
      <c r="M341" s="175"/>
    </row>
    <row r="342" spans="2:13" x14ac:dyDescent="0.2">
      <c r="B342" s="192"/>
      <c r="C342" s="193"/>
      <c r="D342" s="192"/>
      <c r="E342" s="192"/>
      <c r="F342" s="192"/>
      <c r="G342" s="192"/>
      <c r="H342" s="170"/>
      <c r="I342" s="192"/>
      <c r="J342" s="193"/>
      <c r="K342" s="192"/>
      <c r="L342" s="192"/>
      <c r="M342" s="175"/>
    </row>
    <row r="343" spans="2:13" x14ac:dyDescent="0.2">
      <c r="B343" s="192"/>
      <c r="C343" s="193"/>
      <c r="D343" s="192"/>
      <c r="E343" s="192"/>
      <c r="F343" s="192"/>
      <c r="G343" s="192"/>
      <c r="H343" s="170"/>
      <c r="I343" s="192"/>
      <c r="J343" s="193"/>
      <c r="K343" s="192"/>
      <c r="L343" s="192"/>
      <c r="M343" s="175"/>
    </row>
    <row r="344" spans="2:13" x14ac:dyDescent="0.2">
      <c r="B344" s="192"/>
      <c r="C344" s="193"/>
      <c r="D344" s="192"/>
      <c r="E344" s="192"/>
      <c r="F344" s="192"/>
      <c r="G344" s="192"/>
      <c r="H344" s="170"/>
      <c r="I344" s="192"/>
      <c r="J344" s="193"/>
      <c r="K344" s="192"/>
      <c r="L344" s="192"/>
      <c r="M344" s="175"/>
    </row>
    <row r="345" spans="2:13" x14ac:dyDescent="0.2">
      <c r="B345" s="192"/>
      <c r="C345" s="193"/>
      <c r="D345" s="192"/>
      <c r="E345" s="192"/>
      <c r="F345" s="192"/>
      <c r="G345" s="192"/>
      <c r="H345" s="170"/>
      <c r="I345" s="192"/>
      <c r="J345" s="193"/>
      <c r="K345" s="192"/>
      <c r="L345" s="192"/>
      <c r="M345" s="175"/>
    </row>
    <row r="346" spans="2:13" x14ac:dyDescent="0.2">
      <c r="B346" s="192"/>
      <c r="C346" s="193"/>
      <c r="D346" s="192"/>
      <c r="E346" s="192"/>
      <c r="F346" s="192"/>
      <c r="G346" s="192"/>
      <c r="H346" s="170"/>
      <c r="I346" s="192"/>
      <c r="J346" s="193"/>
      <c r="K346" s="192"/>
      <c r="L346" s="192"/>
      <c r="M346" s="175"/>
    </row>
    <row r="347" spans="2:13" x14ac:dyDescent="0.2">
      <c r="B347" s="192"/>
      <c r="C347" s="193"/>
      <c r="D347" s="192"/>
      <c r="E347" s="192"/>
      <c r="F347" s="192"/>
      <c r="G347" s="192"/>
      <c r="H347" s="170"/>
      <c r="I347" s="192"/>
      <c r="J347" s="193"/>
      <c r="K347" s="192"/>
      <c r="L347" s="192"/>
      <c r="M347" s="175"/>
    </row>
    <row r="348" spans="2:13" x14ac:dyDescent="0.2">
      <c r="B348" s="192"/>
      <c r="C348" s="193"/>
      <c r="D348" s="192"/>
      <c r="E348" s="192"/>
      <c r="F348" s="192"/>
      <c r="G348" s="192"/>
      <c r="H348" s="170"/>
      <c r="I348" s="192"/>
      <c r="J348" s="193"/>
      <c r="K348" s="192"/>
      <c r="L348" s="192"/>
      <c r="M348" s="175"/>
    </row>
    <row r="349" spans="2:13" x14ac:dyDescent="0.2">
      <c r="B349" s="192"/>
      <c r="C349" s="193"/>
      <c r="D349" s="192"/>
      <c r="E349" s="192"/>
      <c r="F349" s="192"/>
      <c r="G349" s="192"/>
      <c r="H349" s="170"/>
      <c r="I349" s="192"/>
      <c r="J349" s="193"/>
      <c r="K349" s="192"/>
      <c r="L349" s="192"/>
      <c r="M349" s="175"/>
    </row>
    <row r="350" spans="2:13" x14ac:dyDescent="0.2">
      <c r="B350" s="192"/>
      <c r="C350" s="193"/>
      <c r="D350" s="192"/>
      <c r="E350" s="192"/>
      <c r="F350" s="192"/>
      <c r="G350" s="192"/>
      <c r="H350" s="170"/>
      <c r="I350" s="192"/>
      <c r="J350" s="193"/>
      <c r="K350" s="192"/>
      <c r="L350" s="192"/>
      <c r="M350" s="175"/>
    </row>
    <row r="351" spans="2:13" x14ac:dyDescent="0.2">
      <c r="B351" s="192"/>
      <c r="C351" s="193"/>
      <c r="D351" s="192"/>
      <c r="E351" s="192"/>
      <c r="F351" s="192"/>
      <c r="G351" s="192"/>
      <c r="H351" s="170"/>
      <c r="I351" s="192"/>
      <c r="J351" s="193"/>
      <c r="K351" s="192"/>
      <c r="L351" s="192"/>
      <c r="M351" s="175"/>
    </row>
    <row r="352" spans="2:13" x14ac:dyDescent="0.2">
      <c r="B352" s="192"/>
      <c r="C352" s="193"/>
      <c r="D352" s="192"/>
      <c r="E352" s="192"/>
      <c r="F352" s="192"/>
      <c r="G352" s="192"/>
      <c r="H352" s="170"/>
      <c r="I352" s="192"/>
      <c r="J352" s="193"/>
      <c r="K352" s="192"/>
      <c r="L352" s="192"/>
      <c r="M352" s="175"/>
    </row>
    <row r="353" spans="2:13" x14ac:dyDescent="0.2">
      <c r="B353" s="192"/>
      <c r="C353" s="193"/>
      <c r="D353" s="192"/>
      <c r="E353" s="192"/>
      <c r="F353" s="192"/>
      <c r="G353" s="192"/>
      <c r="H353" s="170"/>
      <c r="I353" s="192"/>
      <c r="J353" s="193"/>
      <c r="K353" s="192"/>
      <c r="L353" s="192"/>
      <c r="M353" s="175"/>
    </row>
    <row r="354" spans="2:13" x14ac:dyDescent="0.2">
      <c r="B354" s="192"/>
      <c r="C354" s="193"/>
      <c r="D354" s="192"/>
      <c r="E354" s="192"/>
      <c r="F354" s="192"/>
      <c r="G354" s="192"/>
      <c r="H354" s="170"/>
      <c r="I354" s="192"/>
      <c r="J354" s="193"/>
      <c r="K354" s="192"/>
      <c r="L354" s="192"/>
      <c r="M354" s="175"/>
    </row>
    <row r="355" spans="2:13" x14ac:dyDescent="0.2">
      <c r="B355" s="192"/>
      <c r="C355" s="193"/>
      <c r="D355" s="192"/>
      <c r="E355" s="192"/>
      <c r="F355" s="192"/>
      <c r="G355" s="192"/>
      <c r="H355" s="170"/>
      <c r="I355" s="192"/>
      <c r="J355" s="193"/>
      <c r="K355" s="192"/>
      <c r="L355" s="192"/>
      <c r="M355" s="175"/>
    </row>
    <row r="356" spans="2:13" x14ac:dyDescent="0.2">
      <c r="B356" s="192"/>
      <c r="C356" s="193"/>
      <c r="D356" s="192"/>
      <c r="E356" s="192"/>
      <c r="F356" s="192"/>
      <c r="G356" s="192"/>
      <c r="H356" s="170"/>
      <c r="I356" s="192"/>
      <c r="J356" s="193"/>
      <c r="K356" s="192"/>
      <c r="L356" s="192"/>
      <c r="M356" s="175"/>
    </row>
    <row r="357" spans="2:13" x14ac:dyDescent="0.2">
      <c r="B357" s="192"/>
      <c r="C357" s="193"/>
      <c r="D357" s="192"/>
      <c r="E357" s="192"/>
      <c r="F357" s="192"/>
      <c r="G357" s="192"/>
      <c r="H357" s="170"/>
      <c r="I357" s="192"/>
      <c r="J357" s="193"/>
      <c r="K357" s="192"/>
      <c r="L357" s="192"/>
      <c r="M357" s="175"/>
    </row>
    <row r="358" spans="2:13" x14ac:dyDescent="0.2">
      <c r="B358" s="192"/>
      <c r="C358" s="193"/>
      <c r="D358" s="192"/>
      <c r="E358" s="192"/>
      <c r="F358" s="192"/>
      <c r="G358" s="192"/>
      <c r="H358" s="170"/>
      <c r="I358" s="192"/>
      <c r="J358" s="193"/>
      <c r="K358" s="192"/>
      <c r="L358" s="192"/>
      <c r="M358" s="175"/>
    </row>
    <row r="359" spans="2:13" x14ac:dyDescent="0.2">
      <c r="B359" s="192"/>
      <c r="C359" s="193"/>
      <c r="D359" s="192"/>
      <c r="E359" s="192"/>
      <c r="F359" s="192"/>
      <c r="G359" s="192"/>
      <c r="H359" s="170"/>
      <c r="I359" s="192"/>
      <c r="J359" s="193"/>
      <c r="K359" s="192"/>
      <c r="L359" s="192"/>
      <c r="M359" s="175"/>
    </row>
    <row r="360" spans="2:13" x14ac:dyDescent="0.2">
      <c r="B360" s="192"/>
      <c r="C360" s="193"/>
      <c r="D360" s="192"/>
      <c r="E360" s="192"/>
      <c r="F360" s="192"/>
      <c r="G360" s="192"/>
      <c r="H360" s="170"/>
      <c r="I360" s="192"/>
      <c r="J360" s="193"/>
      <c r="K360" s="192"/>
      <c r="L360" s="192"/>
      <c r="M360" s="175"/>
    </row>
    <row r="361" spans="2:13" x14ac:dyDescent="0.2">
      <c r="B361" s="192"/>
      <c r="C361" s="193"/>
      <c r="D361" s="192"/>
      <c r="E361" s="192"/>
      <c r="F361" s="192"/>
      <c r="G361" s="192"/>
      <c r="H361" s="170"/>
      <c r="I361" s="192"/>
      <c r="J361" s="193"/>
      <c r="K361" s="192"/>
      <c r="L361" s="192"/>
      <c r="M361" s="175"/>
    </row>
    <row r="362" spans="2:13" x14ac:dyDescent="0.2">
      <c r="B362" s="192"/>
      <c r="C362" s="193"/>
      <c r="D362" s="192"/>
      <c r="E362" s="192"/>
      <c r="F362" s="192"/>
      <c r="G362" s="192"/>
      <c r="H362" s="170"/>
      <c r="I362" s="192"/>
      <c r="J362" s="193"/>
      <c r="K362" s="192"/>
      <c r="L362" s="192"/>
      <c r="M362" s="175"/>
    </row>
    <row r="363" spans="2:13" x14ac:dyDescent="0.2">
      <c r="B363" s="192"/>
      <c r="C363" s="193"/>
      <c r="D363" s="192"/>
      <c r="E363" s="192"/>
      <c r="F363" s="192"/>
      <c r="G363" s="192"/>
      <c r="H363" s="170"/>
      <c r="I363" s="192"/>
      <c r="J363" s="193"/>
      <c r="K363" s="192"/>
      <c r="L363" s="192"/>
      <c r="M363" s="175"/>
    </row>
    <row r="364" spans="2:13" x14ac:dyDescent="0.2">
      <c r="B364" s="192"/>
      <c r="C364" s="193"/>
      <c r="D364" s="192"/>
      <c r="E364" s="192"/>
      <c r="F364" s="192"/>
      <c r="G364" s="192"/>
      <c r="H364" s="170"/>
      <c r="I364" s="192"/>
      <c r="J364" s="193"/>
      <c r="K364" s="192"/>
      <c r="L364" s="192"/>
      <c r="M364" s="175"/>
    </row>
    <row r="365" spans="2:13" x14ac:dyDescent="0.2">
      <c r="B365" s="192"/>
      <c r="C365" s="193"/>
      <c r="D365" s="192"/>
      <c r="E365" s="192"/>
      <c r="F365" s="192"/>
      <c r="G365" s="192"/>
      <c r="H365" s="170"/>
      <c r="I365" s="192"/>
      <c r="J365" s="193"/>
      <c r="K365" s="192"/>
      <c r="L365" s="192"/>
      <c r="M365" s="175"/>
    </row>
    <row r="366" spans="2:13" x14ac:dyDescent="0.2">
      <c r="B366" s="192"/>
      <c r="C366" s="193"/>
      <c r="D366" s="192"/>
      <c r="E366" s="192"/>
      <c r="F366" s="192"/>
      <c r="G366" s="192"/>
      <c r="H366" s="170"/>
      <c r="I366" s="192"/>
      <c r="J366" s="193"/>
      <c r="K366" s="192"/>
      <c r="L366" s="192"/>
      <c r="M366" s="175"/>
    </row>
    <row r="367" spans="2:13" x14ac:dyDescent="0.2">
      <c r="B367" s="192"/>
      <c r="C367" s="193"/>
      <c r="D367" s="192"/>
      <c r="E367" s="192"/>
      <c r="F367" s="192"/>
      <c r="G367" s="192"/>
      <c r="H367" s="170"/>
      <c r="I367" s="192"/>
      <c r="J367" s="193"/>
      <c r="K367" s="192"/>
      <c r="L367" s="192"/>
      <c r="M367" s="175"/>
    </row>
    <row r="368" spans="2:13" x14ac:dyDescent="0.2">
      <c r="B368" s="192"/>
      <c r="C368" s="193"/>
      <c r="D368" s="192"/>
      <c r="E368" s="192"/>
      <c r="F368" s="192"/>
      <c r="G368" s="192"/>
      <c r="H368" s="170"/>
      <c r="I368" s="192"/>
      <c r="J368" s="193"/>
      <c r="K368" s="192"/>
      <c r="L368" s="192"/>
      <c r="M368" s="175"/>
    </row>
    <row r="369" spans="2:13" x14ac:dyDescent="0.2">
      <c r="B369" s="192"/>
      <c r="C369" s="193"/>
      <c r="D369" s="192"/>
      <c r="E369" s="192"/>
      <c r="F369" s="192"/>
      <c r="G369" s="192"/>
      <c r="H369" s="170"/>
      <c r="I369" s="192"/>
      <c r="J369" s="193"/>
      <c r="K369" s="192"/>
      <c r="L369" s="192"/>
      <c r="M369" s="175"/>
    </row>
    <row r="370" spans="2:13" x14ac:dyDescent="0.2">
      <c r="B370" s="192"/>
      <c r="C370" s="193"/>
      <c r="D370" s="192"/>
      <c r="E370" s="192"/>
      <c r="F370" s="192"/>
      <c r="G370" s="192"/>
      <c r="H370" s="170"/>
      <c r="I370" s="192"/>
      <c r="J370" s="193"/>
      <c r="K370" s="192"/>
      <c r="L370" s="192"/>
      <c r="M370" s="175"/>
    </row>
    <row r="371" spans="2:13" x14ac:dyDescent="0.2">
      <c r="B371" s="192"/>
      <c r="C371" s="193"/>
      <c r="D371" s="192"/>
      <c r="E371" s="192"/>
      <c r="F371" s="192"/>
      <c r="G371" s="192"/>
      <c r="H371" s="170"/>
      <c r="I371" s="192"/>
      <c r="J371" s="193"/>
      <c r="K371" s="192"/>
      <c r="L371" s="192"/>
      <c r="M371" s="175"/>
    </row>
    <row r="372" spans="2:13" x14ac:dyDescent="0.2">
      <c r="B372" s="192"/>
      <c r="C372" s="193"/>
      <c r="D372" s="192"/>
      <c r="E372" s="192"/>
      <c r="F372" s="192"/>
      <c r="G372" s="192"/>
      <c r="H372" s="170"/>
      <c r="I372" s="192"/>
      <c r="J372" s="193"/>
      <c r="K372" s="192"/>
      <c r="L372" s="192"/>
      <c r="M372" s="175"/>
    </row>
    <row r="373" spans="2:13" x14ac:dyDescent="0.2">
      <c r="B373" s="192"/>
      <c r="C373" s="193"/>
      <c r="D373" s="192"/>
      <c r="E373" s="192"/>
      <c r="F373" s="192"/>
      <c r="G373" s="192"/>
      <c r="H373" s="170"/>
      <c r="I373" s="192"/>
      <c r="J373" s="193"/>
      <c r="K373" s="192"/>
      <c r="L373" s="192"/>
      <c r="M373" s="175"/>
    </row>
    <row r="374" spans="2:13" x14ac:dyDescent="0.2">
      <c r="B374" s="192"/>
      <c r="C374" s="193"/>
      <c r="D374" s="192"/>
      <c r="E374" s="192"/>
      <c r="F374" s="192"/>
      <c r="G374" s="192"/>
      <c r="H374" s="170"/>
      <c r="I374" s="192"/>
      <c r="J374" s="193"/>
      <c r="K374" s="192"/>
      <c r="L374" s="192"/>
      <c r="M374" s="175"/>
    </row>
    <row r="375" spans="2:13" x14ac:dyDescent="0.2">
      <c r="B375" s="192"/>
      <c r="C375" s="193"/>
      <c r="D375" s="192"/>
      <c r="E375" s="192"/>
      <c r="F375" s="192"/>
      <c r="G375" s="192"/>
      <c r="H375" s="170"/>
      <c r="I375" s="192"/>
      <c r="J375" s="193"/>
      <c r="K375" s="192"/>
      <c r="L375" s="192"/>
      <c r="M375" s="175"/>
    </row>
    <row r="376" spans="2:13" x14ac:dyDescent="0.2">
      <c r="B376" s="192"/>
      <c r="C376" s="193"/>
      <c r="D376" s="192"/>
      <c r="E376" s="192"/>
      <c r="F376" s="192"/>
      <c r="G376" s="192"/>
      <c r="H376" s="170"/>
      <c r="I376" s="192"/>
      <c r="J376" s="193"/>
      <c r="K376" s="192"/>
      <c r="L376" s="192"/>
      <c r="M376" s="175"/>
    </row>
    <row r="377" spans="2:13" x14ac:dyDescent="0.2">
      <c r="B377" s="192"/>
      <c r="C377" s="193"/>
      <c r="D377" s="192"/>
      <c r="E377" s="192"/>
      <c r="F377" s="192"/>
      <c r="G377" s="192"/>
      <c r="H377" s="170"/>
      <c r="I377" s="192"/>
      <c r="J377" s="193"/>
      <c r="K377" s="192"/>
      <c r="L377" s="192"/>
      <c r="M377" s="175"/>
    </row>
    <row r="378" spans="2:13" x14ac:dyDescent="0.2">
      <c r="B378" s="192"/>
      <c r="C378" s="193"/>
      <c r="D378" s="192"/>
      <c r="E378" s="192"/>
      <c r="F378" s="192"/>
      <c r="G378" s="192"/>
      <c r="H378" s="170"/>
      <c r="I378" s="192"/>
      <c r="J378" s="193"/>
      <c r="K378" s="192"/>
      <c r="L378" s="192"/>
      <c r="M378" s="175"/>
    </row>
    <row r="379" spans="2:13" x14ac:dyDescent="0.2">
      <c r="B379" s="192"/>
      <c r="C379" s="193"/>
      <c r="D379" s="192"/>
      <c r="E379" s="192"/>
      <c r="F379" s="192"/>
      <c r="G379" s="192"/>
      <c r="H379" s="170"/>
      <c r="I379" s="192"/>
      <c r="J379" s="193"/>
      <c r="K379" s="192"/>
      <c r="L379" s="192"/>
      <c r="M379" s="175"/>
    </row>
    <row r="380" spans="2:13" x14ac:dyDescent="0.2">
      <c r="B380" s="192"/>
      <c r="C380" s="193"/>
      <c r="D380" s="192"/>
      <c r="E380" s="192"/>
      <c r="F380" s="192"/>
      <c r="G380" s="192"/>
      <c r="H380" s="170"/>
      <c r="I380" s="192"/>
      <c r="J380" s="193"/>
      <c r="K380" s="192"/>
      <c r="L380" s="192"/>
      <c r="M380" s="175"/>
    </row>
    <row r="381" spans="2:13" x14ac:dyDescent="0.2">
      <c r="B381" s="192"/>
      <c r="C381" s="193"/>
      <c r="D381" s="192"/>
      <c r="E381" s="192"/>
      <c r="F381" s="192"/>
      <c r="G381" s="192"/>
      <c r="H381" s="170"/>
      <c r="I381" s="192"/>
      <c r="J381" s="193"/>
      <c r="K381" s="192"/>
      <c r="L381" s="192"/>
      <c r="M381" s="175"/>
    </row>
    <row r="382" spans="2:13" x14ac:dyDescent="0.2">
      <c r="B382" s="192"/>
      <c r="C382" s="193"/>
      <c r="D382" s="192"/>
      <c r="E382" s="192"/>
      <c r="F382" s="192"/>
      <c r="G382" s="192"/>
      <c r="H382" s="170"/>
      <c r="I382" s="192"/>
      <c r="J382" s="193"/>
      <c r="K382" s="192"/>
      <c r="L382" s="192"/>
      <c r="M382" s="175"/>
    </row>
    <row r="383" spans="2:13" x14ac:dyDescent="0.2">
      <c r="B383" s="192"/>
      <c r="C383" s="193"/>
      <c r="D383" s="192"/>
      <c r="E383" s="192"/>
      <c r="F383" s="192"/>
      <c r="G383" s="192"/>
      <c r="H383" s="170"/>
      <c r="I383" s="192"/>
      <c r="J383" s="193"/>
      <c r="K383" s="192"/>
      <c r="L383" s="192"/>
      <c r="M383" s="175"/>
    </row>
    <row r="384" spans="2:13" x14ac:dyDescent="0.2">
      <c r="B384" s="192"/>
      <c r="C384" s="193"/>
      <c r="D384" s="192"/>
      <c r="E384" s="192"/>
      <c r="F384" s="192"/>
      <c r="G384" s="192"/>
      <c r="H384" s="170"/>
      <c r="I384" s="192"/>
      <c r="J384" s="193"/>
      <c r="K384" s="192"/>
      <c r="L384" s="192"/>
      <c r="M384" s="175"/>
    </row>
    <row r="385" spans="2:13" x14ac:dyDescent="0.2">
      <c r="B385" s="192"/>
      <c r="C385" s="193"/>
      <c r="D385" s="192"/>
      <c r="E385" s="192"/>
      <c r="F385" s="192"/>
      <c r="G385" s="192"/>
      <c r="H385" s="170"/>
      <c r="I385" s="192"/>
      <c r="J385" s="193"/>
      <c r="K385" s="192"/>
      <c r="L385" s="192"/>
      <c r="M385" s="175"/>
    </row>
    <row r="386" spans="2:13" x14ac:dyDescent="0.2">
      <c r="B386" s="192"/>
      <c r="C386" s="193"/>
      <c r="D386" s="192"/>
      <c r="E386" s="192"/>
      <c r="F386" s="192"/>
      <c r="G386" s="192"/>
      <c r="H386" s="170"/>
      <c r="I386" s="192"/>
      <c r="J386" s="193"/>
      <c r="K386" s="192"/>
      <c r="L386" s="192"/>
      <c r="M386" s="175"/>
    </row>
    <row r="387" spans="2:13" x14ac:dyDescent="0.2">
      <c r="B387" s="192"/>
      <c r="C387" s="193"/>
      <c r="D387" s="192"/>
      <c r="E387" s="192"/>
      <c r="F387" s="192"/>
      <c r="G387" s="192"/>
      <c r="H387" s="170"/>
      <c r="I387" s="192"/>
      <c r="J387" s="193"/>
      <c r="K387" s="192"/>
      <c r="L387" s="192"/>
      <c r="M387" s="175"/>
    </row>
    <row r="388" spans="2:13" x14ac:dyDescent="0.2">
      <c r="B388" s="192"/>
      <c r="C388" s="193"/>
      <c r="D388" s="192"/>
      <c r="E388" s="192"/>
      <c r="F388" s="192"/>
      <c r="G388" s="192"/>
      <c r="H388" s="170"/>
      <c r="I388" s="192"/>
      <c r="J388" s="193"/>
      <c r="K388" s="192"/>
      <c r="L388" s="192"/>
      <c r="M388" s="175"/>
    </row>
    <row r="389" spans="2:13" x14ac:dyDescent="0.2">
      <c r="B389" s="192"/>
      <c r="C389" s="193"/>
      <c r="D389" s="192"/>
      <c r="E389" s="192"/>
      <c r="F389" s="192"/>
      <c r="G389" s="192"/>
      <c r="H389" s="170"/>
      <c r="I389" s="192"/>
      <c r="J389" s="193"/>
      <c r="K389" s="192"/>
      <c r="L389" s="192"/>
      <c r="M389" s="175"/>
    </row>
    <row r="390" spans="2:13" x14ac:dyDescent="0.2">
      <c r="B390" s="192"/>
      <c r="C390" s="193"/>
      <c r="D390" s="192"/>
      <c r="E390" s="192"/>
      <c r="F390" s="192"/>
      <c r="G390" s="192"/>
      <c r="H390" s="170"/>
      <c r="I390" s="192"/>
      <c r="J390" s="193"/>
      <c r="K390" s="192"/>
      <c r="L390" s="192"/>
      <c r="M390" s="175"/>
    </row>
    <row r="391" spans="2:13" x14ac:dyDescent="0.2">
      <c r="B391" s="192"/>
      <c r="C391" s="193"/>
      <c r="D391" s="192"/>
      <c r="E391" s="192"/>
      <c r="F391" s="192"/>
      <c r="G391" s="192"/>
      <c r="H391" s="170"/>
      <c r="I391" s="192"/>
      <c r="J391" s="193"/>
      <c r="K391" s="192"/>
      <c r="L391" s="192"/>
      <c r="M391" s="175"/>
    </row>
    <row r="392" spans="2:13" x14ac:dyDescent="0.2">
      <c r="B392" s="192"/>
      <c r="C392" s="193"/>
      <c r="D392" s="192"/>
      <c r="E392" s="192"/>
      <c r="F392" s="192"/>
      <c r="G392" s="192"/>
      <c r="H392" s="170"/>
      <c r="I392" s="192"/>
      <c r="J392" s="193"/>
      <c r="K392" s="192"/>
      <c r="L392" s="192"/>
      <c r="M392" s="175"/>
    </row>
    <row r="393" spans="2:13" x14ac:dyDescent="0.2">
      <c r="B393" s="192"/>
      <c r="C393" s="193"/>
      <c r="D393" s="192"/>
      <c r="E393" s="192"/>
      <c r="F393" s="192"/>
      <c r="G393" s="192"/>
      <c r="H393" s="170"/>
      <c r="I393" s="192"/>
      <c r="J393" s="193"/>
      <c r="K393" s="192"/>
      <c r="L393" s="192"/>
      <c r="M393" s="175"/>
    </row>
    <row r="394" spans="2:13" x14ac:dyDescent="0.2">
      <c r="B394" s="192"/>
      <c r="C394" s="193"/>
      <c r="D394" s="192"/>
      <c r="E394" s="192"/>
      <c r="F394" s="192"/>
      <c r="G394" s="192"/>
      <c r="H394" s="170"/>
      <c r="I394" s="192"/>
      <c r="J394" s="193"/>
      <c r="K394" s="192"/>
      <c r="L394" s="192"/>
      <c r="M394" s="175"/>
    </row>
    <row r="395" spans="2:13" x14ac:dyDescent="0.2">
      <c r="B395" s="192"/>
      <c r="C395" s="193"/>
      <c r="D395" s="192"/>
      <c r="E395" s="192"/>
      <c r="F395" s="192"/>
      <c r="G395" s="192"/>
      <c r="H395" s="170"/>
      <c r="I395" s="192"/>
      <c r="J395" s="193"/>
      <c r="K395" s="192"/>
      <c r="L395" s="192"/>
      <c r="M395" s="175"/>
    </row>
    <row r="396" spans="2:13" x14ac:dyDescent="0.2">
      <c r="B396" s="192"/>
      <c r="C396" s="193"/>
      <c r="D396" s="192"/>
      <c r="E396" s="192"/>
      <c r="F396" s="192"/>
      <c r="G396" s="192"/>
      <c r="H396" s="170"/>
      <c r="I396" s="192"/>
      <c r="J396" s="193"/>
      <c r="K396" s="192"/>
      <c r="L396" s="192"/>
      <c r="M396" s="175"/>
    </row>
    <row r="397" spans="2:13" x14ac:dyDescent="0.2">
      <c r="B397" s="192"/>
      <c r="C397" s="193"/>
      <c r="D397" s="192"/>
      <c r="E397" s="192"/>
      <c r="F397" s="192"/>
      <c r="G397" s="192"/>
      <c r="H397" s="170"/>
      <c r="I397" s="192"/>
      <c r="J397" s="193"/>
      <c r="K397" s="192"/>
      <c r="L397" s="192"/>
      <c r="M397" s="175"/>
    </row>
    <row r="398" spans="2:13" x14ac:dyDescent="0.2">
      <c r="B398" s="192"/>
      <c r="C398" s="193"/>
      <c r="D398" s="192"/>
      <c r="E398" s="192"/>
      <c r="F398" s="192"/>
      <c r="G398" s="192"/>
      <c r="H398" s="170"/>
      <c r="I398" s="192"/>
      <c r="J398" s="193"/>
      <c r="K398" s="192"/>
      <c r="L398" s="192"/>
      <c r="M398" s="175"/>
    </row>
    <row r="399" spans="2:13" x14ac:dyDescent="0.2">
      <c r="B399" s="192"/>
      <c r="C399" s="193"/>
      <c r="D399" s="192"/>
      <c r="E399" s="192"/>
      <c r="F399" s="192"/>
      <c r="G399" s="192"/>
      <c r="H399" s="170"/>
      <c r="I399" s="192"/>
      <c r="J399" s="193"/>
      <c r="K399" s="192"/>
      <c r="L399" s="192"/>
      <c r="M399" s="175"/>
    </row>
    <row r="400" spans="2:13" x14ac:dyDescent="0.2">
      <c r="B400" s="192"/>
      <c r="C400" s="193"/>
      <c r="D400" s="192"/>
      <c r="E400" s="192"/>
      <c r="F400" s="192"/>
      <c r="G400" s="192"/>
      <c r="H400" s="170"/>
      <c r="I400" s="192"/>
      <c r="J400" s="193"/>
      <c r="K400" s="192"/>
      <c r="L400" s="192"/>
      <c r="M400" s="175"/>
    </row>
    <row r="401" spans="2:13" x14ac:dyDescent="0.2">
      <c r="B401" s="192"/>
      <c r="C401" s="193"/>
      <c r="D401" s="192"/>
      <c r="E401" s="192"/>
      <c r="F401" s="192"/>
      <c r="G401" s="192"/>
      <c r="H401" s="170"/>
      <c r="I401" s="192"/>
      <c r="J401" s="193"/>
      <c r="K401" s="192"/>
      <c r="L401" s="192"/>
      <c r="M401" s="175"/>
    </row>
    <row r="402" spans="2:13" x14ac:dyDescent="0.2">
      <c r="B402" s="192"/>
      <c r="C402" s="193"/>
      <c r="D402" s="192"/>
      <c r="E402" s="192"/>
      <c r="F402" s="192"/>
      <c r="G402" s="192"/>
      <c r="H402" s="170"/>
      <c r="I402" s="192"/>
      <c r="J402" s="193"/>
      <c r="K402" s="192"/>
      <c r="L402" s="192"/>
      <c r="M402" s="175"/>
    </row>
    <row r="403" spans="2:13" x14ac:dyDescent="0.2">
      <c r="B403" s="192"/>
      <c r="C403" s="193"/>
      <c r="D403" s="192"/>
      <c r="E403" s="192"/>
      <c r="F403" s="192"/>
      <c r="G403" s="192"/>
      <c r="H403" s="170"/>
      <c r="I403" s="192"/>
      <c r="J403" s="193"/>
      <c r="K403" s="192"/>
      <c r="L403" s="192"/>
      <c r="M403" s="175"/>
    </row>
    <row r="404" spans="2:13" x14ac:dyDescent="0.2">
      <c r="B404" s="192"/>
      <c r="C404" s="193"/>
      <c r="D404" s="192"/>
      <c r="E404" s="192"/>
      <c r="F404" s="192"/>
      <c r="G404" s="192"/>
      <c r="H404" s="170"/>
      <c r="I404" s="192"/>
      <c r="J404" s="193"/>
      <c r="K404" s="192"/>
      <c r="L404" s="192"/>
      <c r="M404" s="175"/>
    </row>
    <row r="405" spans="2:13" x14ac:dyDescent="0.2">
      <c r="B405" s="192"/>
      <c r="C405" s="193"/>
      <c r="D405" s="192"/>
      <c r="E405" s="192"/>
      <c r="F405" s="192"/>
      <c r="G405" s="192"/>
      <c r="H405" s="170"/>
      <c r="I405" s="192"/>
      <c r="J405" s="193"/>
      <c r="K405" s="192"/>
      <c r="L405" s="192"/>
      <c r="M405" s="175"/>
    </row>
    <row r="406" spans="2:13" x14ac:dyDescent="0.2">
      <c r="B406" s="192"/>
      <c r="C406" s="193"/>
      <c r="D406" s="192"/>
      <c r="E406" s="192"/>
      <c r="F406" s="192"/>
      <c r="G406" s="192"/>
      <c r="H406" s="170"/>
      <c r="I406" s="192"/>
      <c r="J406" s="193"/>
      <c r="K406" s="192"/>
      <c r="L406" s="192"/>
      <c r="M406" s="175"/>
    </row>
    <row r="407" spans="2:13" x14ac:dyDescent="0.2">
      <c r="B407" s="192"/>
      <c r="C407" s="193"/>
      <c r="D407" s="192"/>
      <c r="E407" s="192"/>
      <c r="F407" s="192"/>
      <c r="G407" s="192"/>
      <c r="H407" s="170"/>
      <c r="I407" s="192"/>
      <c r="J407" s="193"/>
      <c r="K407" s="192"/>
      <c r="L407" s="192"/>
      <c r="M407" s="175"/>
    </row>
    <row r="408" spans="2:13" x14ac:dyDescent="0.2">
      <c r="B408" s="192"/>
      <c r="C408" s="193"/>
      <c r="D408" s="192"/>
      <c r="E408" s="192"/>
      <c r="F408" s="192"/>
      <c r="G408" s="192"/>
      <c r="H408" s="170"/>
      <c r="I408" s="192"/>
      <c r="J408" s="193"/>
      <c r="K408" s="192"/>
      <c r="L408" s="192"/>
      <c r="M408" s="175"/>
    </row>
    <row r="409" spans="2:13" x14ac:dyDescent="0.2">
      <c r="B409" s="192"/>
      <c r="C409" s="193"/>
      <c r="D409" s="192"/>
      <c r="E409" s="192"/>
      <c r="F409" s="192"/>
      <c r="G409" s="192"/>
      <c r="H409" s="170"/>
      <c r="I409" s="192"/>
      <c r="J409" s="193"/>
      <c r="K409" s="192"/>
      <c r="L409" s="192"/>
      <c r="M409" s="175"/>
    </row>
    <row r="410" spans="2:13" x14ac:dyDescent="0.2">
      <c r="B410" s="192"/>
      <c r="C410" s="193"/>
      <c r="D410" s="192"/>
      <c r="E410" s="192"/>
      <c r="F410" s="192"/>
      <c r="G410" s="192"/>
      <c r="H410" s="170"/>
      <c r="I410" s="192"/>
      <c r="J410" s="193"/>
      <c r="K410" s="192"/>
      <c r="L410" s="192"/>
      <c r="M410" s="175"/>
    </row>
    <row r="411" spans="2:13" x14ac:dyDescent="0.2">
      <c r="B411" s="192"/>
      <c r="C411" s="193"/>
      <c r="D411" s="192"/>
      <c r="E411" s="192"/>
      <c r="F411" s="192"/>
      <c r="G411" s="192"/>
      <c r="H411" s="170"/>
      <c r="I411" s="192"/>
      <c r="J411" s="193"/>
      <c r="K411" s="192"/>
      <c r="L411" s="192"/>
      <c r="M411" s="175"/>
    </row>
    <row r="412" spans="2:13" x14ac:dyDescent="0.2">
      <c r="B412" s="192"/>
      <c r="C412" s="193"/>
      <c r="D412" s="192"/>
      <c r="E412" s="192"/>
      <c r="F412" s="192"/>
      <c r="G412" s="192"/>
      <c r="H412" s="170"/>
      <c r="I412" s="192"/>
      <c r="J412" s="193"/>
      <c r="K412" s="192"/>
      <c r="L412" s="192"/>
      <c r="M412" s="175"/>
    </row>
    <row r="413" spans="2:13" x14ac:dyDescent="0.2">
      <c r="B413" s="192"/>
      <c r="C413" s="193"/>
      <c r="D413" s="192"/>
      <c r="E413" s="192"/>
      <c r="F413" s="192"/>
      <c r="G413" s="192"/>
      <c r="H413" s="170"/>
      <c r="I413" s="192"/>
      <c r="J413" s="193"/>
      <c r="K413" s="192"/>
      <c r="L413" s="192"/>
      <c r="M413" s="175"/>
    </row>
    <row r="414" spans="2:13" x14ac:dyDescent="0.2">
      <c r="B414" s="192"/>
      <c r="C414" s="193"/>
      <c r="D414" s="192"/>
      <c r="E414" s="192"/>
      <c r="F414" s="192"/>
      <c r="G414" s="192"/>
      <c r="H414" s="170"/>
      <c r="I414" s="192"/>
      <c r="J414" s="193"/>
      <c r="K414" s="192"/>
      <c r="L414" s="192"/>
      <c r="M414" s="175"/>
    </row>
    <row r="415" spans="2:13" x14ac:dyDescent="0.2">
      <c r="B415" s="192"/>
      <c r="C415" s="193"/>
      <c r="D415" s="192"/>
      <c r="E415" s="192"/>
      <c r="F415" s="192"/>
      <c r="G415" s="192"/>
      <c r="H415" s="170"/>
      <c r="I415" s="192"/>
      <c r="J415" s="193"/>
      <c r="K415" s="192"/>
      <c r="L415" s="192"/>
      <c r="M415" s="175"/>
    </row>
    <row r="416" spans="2:13" x14ac:dyDescent="0.2">
      <c r="B416" s="192"/>
      <c r="C416" s="193"/>
      <c r="D416" s="192"/>
      <c r="E416" s="192"/>
      <c r="F416" s="192"/>
      <c r="G416" s="192"/>
      <c r="H416" s="170"/>
      <c r="I416" s="192"/>
      <c r="J416" s="193"/>
      <c r="K416" s="192"/>
      <c r="L416" s="192"/>
      <c r="M416" s="175"/>
    </row>
    <row r="417" spans="2:13" x14ac:dyDescent="0.2">
      <c r="B417" s="192"/>
      <c r="C417" s="193"/>
      <c r="D417" s="192"/>
      <c r="E417" s="192"/>
      <c r="F417" s="192"/>
      <c r="G417" s="192"/>
      <c r="H417" s="170"/>
      <c r="I417" s="192"/>
      <c r="J417" s="193"/>
      <c r="K417" s="192"/>
      <c r="L417" s="192"/>
      <c r="M417" s="175"/>
    </row>
    <row r="418" spans="2:13" x14ac:dyDescent="0.2">
      <c r="B418" s="192"/>
      <c r="C418" s="193"/>
      <c r="D418" s="192"/>
      <c r="E418" s="192"/>
      <c r="F418" s="192"/>
      <c r="G418" s="192"/>
      <c r="H418" s="170"/>
      <c r="I418" s="192"/>
      <c r="J418" s="193"/>
      <c r="K418" s="192"/>
      <c r="L418" s="192"/>
      <c r="M418" s="175"/>
    </row>
    <row r="419" spans="2:13" x14ac:dyDescent="0.2">
      <c r="B419" s="192"/>
      <c r="C419" s="193"/>
      <c r="D419" s="192"/>
      <c r="E419" s="192"/>
      <c r="F419" s="192"/>
      <c r="G419" s="192"/>
      <c r="H419" s="170"/>
      <c r="I419" s="192"/>
      <c r="J419" s="193"/>
      <c r="K419" s="192"/>
      <c r="L419" s="192"/>
      <c r="M419" s="175"/>
    </row>
    <row r="420" spans="2:13" x14ac:dyDescent="0.2">
      <c r="B420" s="192"/>
      <c r="C420" s="193"/>
      <c r="D420" s="192"/>
      <c r="E420" s="192"/>
      <c r="F420" s="192"/>
      <c r="G420" s="192"/>
      <c r="H420" s="170"/>
      <c r="I420" s="192"/>
      <c r="J420" s="193"/>
      <c r="K420" s="192"/>
      <c r="L420" s="192"/>
      <c r="M420" s="175"/>
    </row>
    <row r="421" spans="2:13" x14ac:dyDescent="0.2">
      <c r="B421" s="192"/>
      <c r="C421" s="193"/>
      <c r="D421" s="192"/>
      <c r="E421" s="192"/>
      <c r="F421" s="192"/>
      <c r="G421" s="192"/>
      <c r="H421" s="170"/>
      <c r="I421" s="192"/>
      <c r="J421" s="193"/>
      <c r="K421" s="192"/>
      <c r="L421" s="192"/>
      <c r="M421" s="175"/>
    </row>
    <row r="422" spans="2:13" x14ac:dyDescent="0.2">
      <c r="B422" s="192"/>
      <c r="C422" s="193"/>
      <c r="D422" s="192"/>
      <c r="E422" s="192"/>
      <c r="F422" s="192"/>
      <c r="G422" s="192"/>
      <c r="H422" s="170"/>
      <c r="I422" s="192"/>
      <c r="J422" s="193"/>
      <c r="K422" s="192"/>
      <c r="L422" s="192"/>
      <c r="M422" s="175"/>
    </row>
    <row r="423" spans="2:13" x14ac:dyDescent="0.2">
      <c r="B423" s="192"/>
      <c r="C423" s="193"/>
      <c r="D423" s="192"/>
      <c r="E423" s="192"/>
      <c r="F423" s="192"/>
      <c r="G423" s="192"/>
      <c r="H423" s="170"/>
      <c r="I423" s="192"/>
      <c r="J423" s="193"/>
      <c r="K423" s="192"/>
      <c r="L423" s="192"/>
      <c r="M423" s="175"/>
    </row>
    <row r="424" spans="2:13" x14ac:dyDescent="0.2">
      <c r="B424" s="192"/>
      <c r="C424" s="193"/>
      <c r="D424" s="192"/>
      <c r="E424" s="192"/>
      <c r="F424" s="192"/>
      <c r="G424" s="192"/>
      <c r="H424" s="170"/>
      <c r="I424" s="192"/>
      <c r="J424" s="193"/>
      <c r="K424" s="192"/>
      <c r="L424" s="192"/>
      <c r="M424" s="175"/>
    </row>
    <row r="425" spans="2:13" x14ac:dyDescent="0.2">
      <c r="B425" s="192"/>
      <c r="C425" s="193"/>
      <c r="D425" s="192"/>
      <c r="E425" s="192"/>
      <c r="F425" s="192"/>
      <c r="G425" s="192"/>
      <c r="H425" s="170"/>
      <c r="I425" s="192"/>
      <c r="J425" s="193"/>
      <c r="K425" s="192"/>
      <c r="L425" s="192"/>
      <c r="M425" s="175"/>
    </row>
    <row r="426" spans="2:13" x14ac:dyDescent="0.2">
      <c r="B426" s="192"/>
      <c r="C426" s="193"/>
      <c r="D426" s="192"/>
      <c r="E426" s="192"/>
      <c r="F426" s="192"/>
      <c r="G426" s="192"/>
      <c r="H426" s="170"/>
      <c r="I426" s="192"/>
      <c r="J426" s="193"/>
      <c r="K426" s="192"/>
      <c r="L426" s="192"/>
      <c r="M426" s="175"/>
    </row>
    <row r="427" spans="2:13" x14ac:dyDescent="0.2">
      <c r="B427" s="192"/>
      <c r="C427" s="193"/>
      <c r="D427" s="192"/>
      <c r="E427" s="192"/>
      <c r="F427" s="192"/>
      <c r="G427" s="192"/>
      <c r="H427" s="170"/>
      <c r="I427" s="192"/>
      <c r="J427" s="193"/>
      <c r="K427" s="192"/>
      <c r="L427" s="192"/>
      <c r="M427" s="175"/>
    </row>
    <row r="428" spans="2:13" x14ac:dyDescent="0.2">
      <c r="B428" s="192"/>
      <c r="C428" s="193"/>
      <c r="D428" s="192"/>
      <c r="E428" s="192"/>
      <c r="F428" s="192"/>
      <c r="G428" s="192"/>
      <c r="H428" s="170"/>
      <c r="I428" s="192"/>
      <c r="J428" s="193"/>
      <c r="K428" s="192"/>
      <c r="L428" s="192"/>
      <c r="M428" s="175"/>
    </row>
    <row r="429" spans="2:13" x14ac:dyDescent="0.2">
      <c r="B429" s="192"/>
      <c r="C429" s="193"/>
      <c r="D429" s="192"/>
      <c r="E429" s="192"/>
      <c r="F429" s="192"/>
      <c r="G429" s="192"/>
      <c r="H429" s="170"/>
      <c r="I429" s="192"/>
      <c r="J429" s="193"/>
      <c r="K429" s="192"/>
      <c r="L429" s="192"/>
      <c r="M429" s="175"/>
    </row>
    <row r="430" spans="2:13" x14ac:dyDescent="0.2">
      <c r="B430" s="192"/>
      <c r="C430" s="193"/>
      <c r="D430" s="192"/>
      <c r="E430" s="192"/>
      <c r="F430" s="192"/>
      <c r="G430" s="192"/>
      <c r="H430" s="170"/>
      <c r="I430" s="192"/>
      <c r="J430" s="193"/>
      <c r="K430" s="192"/>
      <c r="L430" s="192"/>
      <c r="M430" s="175"/>
    </row>
    <row r="431" spans="2:13" x14ac:dyDescent="0.2">
      <c r="B431" s="192"/>
      <c r="C431" s="193"/>
      <c r="D431" s="192"/>
      <c r="E431" s="192"/>
      <c r="F431" s="192"/>
      <c r="G431" s="192"/>
      <c r="H431" s="170"/>
      <c r="I431" s="192"/>
      <c r="J431" s="193"/>
      <c r="K431" s="192"/>
      <c r="L431" s="192"/>
      <c r="M431" s="175"/>
    </row>
    <row r="432" spans="2:13" x14ac:dyDescent="0.2">
      <c r="B432" s="192"/>
      <c r="C432" s="193"/>
      <c r="D432" s="192"/>
      <c r="E432" s="192"/>
      <c r="F432" s="192"/>
      <c r="G432" s="192"/>
      <c r="H432" s="170"/>
      <c r="I432" s="192"/>
      <c r="J432" s="193"/>
      <c r="K432" s="192"/>
      <c r="L432" s="192"/>
      <c r="M432" s="175"/>
    </row>
    <row r="433" spans="2:13" x14ac:dyDescent="0.2">
      <c r="B433" s="192"/>
      <c r="C433" s="193"/>
      <c r="D433" s="192"/>
      <c r="E433" s="192"/>
      <c r="F433" s="192"/>
      <c r="G433" s="192"/>
      <c r="H433" s="170"/>
      <c r="I433" s="192"/>
      <c r="J433" s="193"/>
      <c r="K433" s="192"/>
      <c r="L433" s="192"/>
      <c r="M433" s="175"/>
    </row>
    <row r="434" spans="2:13" x14ac:dyDescent="0.2">
      <c r="B434" s="192"/>
      <c r="C434" s="193"/>
      <c r="D434" s="192"/>
      <c r="E434" s="192"/>
      <c r="F434" s="192"/>
      <c r="G434" s="192"/>
      <c r="H434" s="170"/>
      <c r="I434" s="192"/>
      <c r="J434" s="193"/>
      <c r="K434" s="192"/>
      <c r="L434" s="192"/>
      <c r="M434" s="175"/>
    </row>
    <row r="435" spans="2:13" x14ac:dyDescent="0.2">
      <c r="B435" s="192"/>
      <c r="C435" s="193"/>
      <c r="D435" s="192"/>
      <c r="E435" s="192"/>
      <c r="F435" s="192"/>
      <c r="G435" s="192"/>
      <c r="H435" s="170"/>
      <c r="I435" s="192"/>
      <c r="J435" s="193"/>
      <c r="K435" s="192"/>
      <c r="L435" s="192"/>
      <c r="M435" s="175"/>
    </row>
    <row r="436" spans="2:13" x14ac:dyDescent="0.2">
      <c r="B436" s="192"/>
      <c r="C436" s="193"/>
      <c r="D436" s="192"/>
      <c r="E436" s="192"/>
      <c r="F436" s="192"/>
      <c r="G436" s="192"/>
      <c r="H436" s="170"/>
      <c r="I436" s="192"/>
      <c r="J436" s="193"/>
      <c r="K436" s="192"/>
      <c r="L436" s="192"/>
      <c r="M436" s="175"/>
    </row>
    <row r="437" spans="2:13" x14ac:dyDescent="0.2">
      <c r="B437" s="192"/>
      <c r="C437" s="193"/>
      <c r="D437" s="192"/>
      <c r="E437" s="192"/>
      <c r="F437" s="192"/>
      <c r="G437" s="192"/>
      <c r="H437" s="170"/>
      <c r="I437" s="192"/>
      <c r="J437" s="193"/>
      <c r="K437" s="192"/>
      <c r="L437" s="192"/>
      <c r="M437" s="175"/>
    </row>
    <row r="438" spans="2:13" x14ac:dyDescent="0.2">
      <c r="B438" s="192"/>
      <c r="C438" s="193"/>
      <c r="D438" s="192"/>
      <c r="E438" s="192"/>
      <c r="F438" s="192"/>
      <c r="G438" s="192"/>
      <c r="H438" s="170"/>
      <c r="I438" s="192"/>
      <c r="J438" s="193"/>
      <c r="K438" s="192"/>
      <c r="L438" s="192"/>
      <c r="M438" s="175"/>
    </row>
    <row r="439" spans="2:13" x14ac:dyDescent="0.2">
      <c r="B439" s="192"/>
      <c r="C439" s="193"/>
      <c r="D439" s="192"/>
      <c r="E439" s="192"/>
      <c r="F439" s="192"/>
      <c r="G439" s="192"/>
      <c r="H439" s="170"/>
      <c r="I439" s="192"/>
      <c r="J439" s="193"/>
      <c r="K439" s="192"/>
      <c r="L439" s="192"/>
      <c r="M439" s="175"/>
    </row>
    <row r="440" spans="2:13" x14ac:dyDescent="0.2">
      <c r="B440" s="192"/>
      <c r="C440" s="193"/>
      <c r="D440" s="192"/>
      <c r="E440" s="192"/>
      <c r="F440" s="192"/>
      <c r="G440" s="192"/>
      <c r="H440" s="170"/>
      <c r="I440" s="192"/>
      <c r="J440" s="193"/>
      <c r="K440" s="192"/>
      <c r="L440" s="192"/>
      <c r="M440" s="175"/>
    </row>
    <row r="441" spans="2:13" x14ac:dyDescent="0.2">
      <c r="B441" s="192"/>
      <c r="C441" s="193"/>
      <c r="D441" s="192"/>
      <c r="E441" s="192"/>
      <c r="F441" s="192"/>
      <c r="G441" s="192"/>
      <c r="H441" s="170"/>
      <c r="I441" s="192"/>
      <c r="J441" s="193"/>
      <c r="K441" s="192"/>
      <c r="L441" s="192"/>
      <c r="M441" s="175"/>
    </row>
    <row r="442" spans="2:13" x14ac:dyDescent="0.2">
      <c r="B442" s="192"/>
      <c r="C442" s="193"/>
      <c r="D442" s="192"/>
      <c r="E442" s="192"/>
      <c r="F442" s="192"/>
      <c r="G442" s="192"/>
      <c r="H442" s="170"/>
      <c r="I442" s="192"/>
      <c r="J442" s="193"/>
      <c r="K442" s="192"/>
      <c r="L442" s="192"/>
      <c r="M442" s="175"/>
    </row>
    <row r="443" spans="2:13" x14ac:dyDescent="0.2">
      <c r="B443" s="192"/>
      <c r="C443" s="193"/>
      <c r="D443" s="192"/>
      <c r="E443" s="192"/>
      <c r="F443" s="192"/>
      <c r="G443" s="192"/>
      <c r="H443" s="170"/>
      <c r="I443" s="192"/>
      <c r="J443" s="193"/>
      <c r="K443" s="192"/>
      <c r="L443" s="192"/>
      <c r="M443" s="175"/>
    </row>
    <row r="444" spans="2:13" x14ac:dyDescent="0.2">
      <c r="B444" s="192"/>
      <c r="C444" s="193"/>
      <c r="D444" s="192"/>
      <c r="E444" s="192"/>
      <c r="F444" s="192"/>
      <c r="G444" s="192"/>
      <c r="H444" s="170"/>
      <c r="I444" s="192"/>
      <c r="J444" s="193"/>
      <c r="K444" s="192"/>
      <c r="L444" s="192"/>
      <c r="M444" s="175"/>
    </row>
    <row r="445" spans="2:13" x14ac:dyDescent="0.2">
      <c r="B445" s="192"/>
      <c r="C445" s="193"/>
      <c r="D445" s="192"/>
      <c r="E445" s="192"/>
      <c r="F445" s="192"/>
      <c r="G445" s="192"/>
      <c r="H445" s="170"/>
      <c r="I445" s="192"/>
      <c r="J445" s="193"/>
      <c r="K445" s="192"/>
      <c r="L445" s="192"/>
      <c r="M445" s="175"/>
    </row>
    <row r="446" spans="2:13" x14ac:dyDescent="0.2">
      <c r="B446" s="192"/>
      <c r="C446" s="193"/>
      <c r="D446" s="192"/>
      <c r="E446" s="192"/>
      <c r="F446" s="192"/>
      <c r="G446" s="192"/>
      <c r="H446" s="170"/>
      <c r="I446" s="192"/>
      <c r="J446" s="193"/>
      <c r="K446" s="192"/>
      <c r="L446" s="192"/>
      <c r="M446" s="175"/>
    </row>
    <row r="447" spans="2:13" x14ac:dyDescent="0.2">
      <c r="B447" s="192"/>
      <c r="C447" s="193"/>
      <c r="D447" s="192"/>
      <c r="E447" s="192"/>
      <c r="F447" s="192"/>
      <c r="G447" s="192"/>
      <c r="H447" s="170"/>
      <c r="I447" s="192"/>
      <c r="J447" s="193"/>
      <c r="K447" s="192"/>
      <c r="L447" s="192"/>
      <c r="M447" s="175"/>
    </row>
    <row r="448" spans="2:13" x14ac:dyDescent="0.2">
      <c r="B448" s="192"/>
      <c r="C448" s="193"/>
      <c r="D448" s="192"/>
      <c r="E448" s="192"/>
      <c r="F448" s="192"/>
      <c r="G448" s="192"/>
      <c r="H448" s="170"/>
      <c r="I448" s="192"/>
      <c r="J448" s="193"/>
      <c r="K448" s="192"/>
      <c r="L448" s="192"/>
      <c r="M448" s="175"/>
    </row>
    <row r="449" spans="2:13" x14ac:dyDescent="0.2">
      <c r="B449" s="192"/>
      <c r="C449" s="193"/>
      <c r="D449" s="192"/>
      <c r="E449" s="192"/>
      <c r="F449" s="192"/>
      <c r="G449" s="192"/>
      <c r="H449" s="170"/>
      <c r="I449" s="192"/>
      <c r="J449" s="193"/>
      <c r="K449" s="192"/>
      <c r="L449" s="192"/>
      <c r="M449" s="175"/>
    </row>
    <row r="450" spans="2:13" x14ac:dyDescent="0.2">
      <c r="B450" s="192"/>
      <c r="C450" s="193"/>
      <c r="D450" s="192"/>
      <c r="E450" s="192"/>
      <c r="F450" s="192"/>
      <c r="G450" s="192"/>
      <c r="H450" s="170"/>
      <c r="I450" s="192"/>
      <c r="J450" s="193"/>
      <c r="K450" s="192"/>
      <c r="L450" s="192"/>
      <c r="M450" s="175"/>
    </row>
    <row r="451" spans="2:13" x14ac:dyDescent="0.2">
      <c r="B451" s="192"/>
      <c r="C451" s="193"/>
      <c r="D451" s="192"/>
      <c r="E451" s="192"/>
      <c r="F451" s="192"/>
      <c r="G451" s="192"/>
      <c r="H451" s="170"/>
      <c r="I451" s="192"/>
      <c r="J451" s="193"/>
      <c r="K451" s="192"/>
      <c r="L451" s="192"/>
      <c r="M451" s="175"/>
    </row>
    <row r="452" spans="2:13" x14ac:dyDescent="0.2">
      <c r="B452" s="192"/>
      <c r="C452" s="193"/>
      <c r="D452" s="192"/>
      <c r="E452" s="192"/>
      <c r="F452" s="192"/>
      <c r="G452" s="192"/>
      <c r="H452" s="170"/>
      <c r="I452" s="192"/>
      <c r="J452" s="193"/>
      <c r="K452" s="192"/>
      <c r="L452" s="192"/>
      <c r="M452" s="175"/>
    </row>
    <row r="453" spans="2:13" x14ac:dyDescent="0.2">
      <c r="B453" s="192"/>
      <c r="C453" s="193"/>
      <c r="D453" s="192"/>
      <c r="E453" s="192"/>
      <c r="F453" s="192"/>
      <c r="G453" s="192"/>
      <c r="H453" s="170"/>
      <c r="I453" s="192"/>
      <c r="J453" s="193"/>
      <c r="K453" s="192"/>
      <c r="L453" s="192"/>
      <c r="M453" s="175"/>
    </row>
    <row r="454" spans="2:13" x14ac:dyDescent="0.2">
      <c r="B454" s="192"/>
      <c r="C454" s="193"/>
      <c r="D454" s="192"/>
      <c r="E454" s="192"/>
      <c r="F454" s="192"/>
      <c r="G454" s="192"/>
      <c r="H454" s="170"/>
      <c r="I454" s="192"/>
      <c r="J454" s="193"/>
      <c r="K454" s="192"/>
      <c r="L454" s="192"/>
      <c r="M454" s="175"/>
    </row>
    <row r="455" spans="2:13" x14ac:dyDescent="0.2">
      <c r="B455" s="192"/>
      <c r="C455" s="193"/>
      <c r="D455" s="192"/>
      <c r="E455" s="192"/>
      <c r="F455" s="192"/>
      <c r="G455" s="192"/>
      <c r="H455" s="170"/>
      <c r="I455" s="192"/>
      <c r="J455" s="193"/>
      <c r="K455" s="192"/>
      <c r="L455" s="192"/>
      <c r="M455" s="175"/>
    </row>
    <row r="456" spans="2:13" x14ac:dyDescent="0.2">
      <c r="B456" s="192"/>
      <c r="C456" s="193"/>
      <c r="D456" s="192"/>
      <c r="E456" s="192"/>
      <c r="F456" s="192"/>
      <c r="G456" s="192"/>
      <c r="H456" s="170"/>
      <c r="I456" s="192"/>
      <c r="J456" s="193"/>
      <c r="K456" s="192"/>
      <c r="L456" s="192"/>
      <c r="M456" s="175"/>
    </row>
    <row r="457" spans="2:13" x14ac:dyDescent="0.2">
      <c r="B457" s="192"/>
      <c r="C457" s="193"/>
      <c r="D457" s="192"/>
      <c r="E457" s="192"/>
      <c r="F457" s="192"/>
      <c r="G457" s="192"/>
      <c r="H457" s="170"/>
      <c r="I457" s="192"/>
      <c r="J457" s="193"/>
      <c r="K457" s="192"/>
      <c r="L457" s="192"/>
      <c r="M457" s="175"/>
    </row>
    <row r="458" spans="2:13" x14ac:dyDescent="0.2">
      <c r="B458" s="192"/>
      <c r="C458" s="193"/>
      <c r="D458" s="192"/>
      <c r="E458" s="192"/>
      <c r="F458" s="192"/>
      <c r="G458" s="192"/>
      <c r="H458" s="170"/>
      <c r="I458" s="192"/>
      <c r="J458" s="193"/>
      <c r="K458" s="192"/>
      <c r="L458" s="192"/>
      <c r="M458" s="175"/>
    </row>
    <row r="459" spans="2:13" x14ac:dyDescent="0.2">
      <c r="B459" s="192"/>
      <c r="C459" s="193"/>
      <c r="D459" s="192"/>
      <c r="E459" s="192"/>
      <c r="F459" s="192"/>
      <c r="G459" s="192"/>
      <c r="H459" s="170"/>
      <c r="I459" s="192"/>
      <c r="J459" s="193"/>
      <c r="K459" s="192"/>
      <c r="L459" s="192"/>
      <c r="M459" s="175"/>
    </row>
    <row r="460" spans="2:13" x14ac:dyDescent="0.2">
      <c r="B460" s="192"/>
      <c r="C460" s="193"/>
      <c r="D460" s="192"/>
      <c r="E460" s="192"/>
      <c r="F460" s="192"/>
      <c r="G460" s="192"/>
      <c r="H460" s="170"/>
      <c r="I460" s="192"/>
      <c r="J460" s="193"/>
      <c r="K460" s="192"/>
      <c r="L460" s="192"/>
      <c r="M460" s="175"/>
    </row>
    <row r="461" spans="2:13" x14ac:dyDescent="0.2">
      <c r="B461" s="192"/>
      <c r="C461" s="193"/>
      <c r="D461" s="192"/>
      <c r="E461" s="192"/>
      <c r="F461" s="192"/>
      <c r="G461" s="192"/>
      <c r="H461" s="170"/>
      <c r="I461" s="192"/>
      <c r="J461" s="193"/>
      <c r="K461" s="192"/>
      <c r="L461" s="192"/>
      <c r="M461" s="175"/>
    </row>
    <row r="462" spans="2:13" x14ac:dyDescent="0.2">
      <c r="B462" s="192"/>
      <c r="C462" s="193"/>
      <c r="D462" s="192"/>
      <c r="E462" s="192"/>
      <c r="F462" s="192"/>
      <c r="G462" s="192"/>
      <c r="H462" s="170"/>
      <c r="I462" s="192"/>
      <c r="J462" s="193"/>
      <c r="K462" s="192"/>
      <c r="L462" s="192"/>
      <c r="M462" s="175"/>
    </row>
    <row r="463" spans="2:13" x14ac:dyDescent="0.2">
      <c r="B463" s="192"/>
      <c r="C463" s="193"/>
      <c r="D463" s="192"/>
      <c r="E463" s="192"/>
      <c r="F463" s="192"/>
      <c r="G463" s="192"/>
      <c r="H463" s="170"/>
      <c r="I463" s="192"/>
      <c r="J463" s="193"/>
      <c r="K463" s="192"/>
      <c r="L463" s="192"/>
      <c r="M463" s="175"/>
    </row>
    <row r="464" spans="2:13" x14ac:dyDescent="0.2">
      <c r="B464" s="192"/>
      <c r="C464" s="193"/>
      <c r="D464" s="192"/>
      <c r="E464" s="192"/>
      <c r="F464" s="192"/>
      <c r="G464" s="192"/>
      <c r="H464" s="170"/>
      <c r="I464" s="192"/>
      <c r="J464" s="193"/>
      <c r="K464" s="192"/>
      <c r="L464" s="192"/>
      <c r="M464" s="175"/>
    </row>
    <row r="465" spans="2:13" x14ac:dyDescent="0.2">
      <c r="B465" s="192"/>
      <c r="C465" s="193"/>
      <c r="D465" s="192"/>
      <c r="E465" s="192"/>
      <c r="F465" s="192"/>
      <c r="G465" s="192"/>
      <c r="H465" s="170"/>
      <c r="I465" s="192"/>
      <c r="J465" s="193"/>
      <c r="K465" s="192"/>
      <c r="L465" s="192"/>
      <c r="M465" s="175"/>
    </row>
    <row r="466" spans="2:13" x14ac:dyDescent="0.2">
      <c r="B466" s="192"/>
      <c r="C466" s="193"/>
      <c r="D466" s="192"/>
      <c r="E466" s="192"/>
      <c r="F466" s="192"/>
      <c r="G466" s="192"/>
      <c r="H466" s="170"/>
      <c r="I466" s="192"/>
      <c r="J466" s="193"/>
      <c r="K466" s="192"/>
      <c r="L466" s="192"/>
      <c r="M466" s="175"/>
    </row>
    <row r="467" spans="2:13" x14ac:dyDescent="0.2">
      <c r="B467" s="192"/>
      <c r="C467" s="193"/>
      <c r="D467" s="192"/>
      <c r="E467" s="192"/>
      <c r="F467" s="192"/>
      <c r="G467" s="192"/>
      <c r="H467" s="170"/>
      <c r="I467" s="192"/>
      <c r="J467" s="193"/>
      <c r="K467" s="192"/>
      <c r="L467" s="192"/>
      <c r="M467" s="175"/>
    </row>
    <row r="468" spans="2:13" x14ac:dyDescent="0.2">
      <c r="B468" s="192"/>
      <c r="C468" s="193"/>
      <c r="D468" s="192"/>
      <c r="E468" s="192"/>
      <c r="F468" s="192"/>
      <c r="G468" s="192"/>
      <c r="H468" s="170"/>
      <c r="I468" s="192"/>
      <c r="J468" s="193"/>
      <c r="K468" s="192"/>
      <c r="L468" s="192"/>
      <c r="M468" s="175"/>
    </row>
    <row r="469" spans="2:13" x14ac:dyDescent="0.2">
      <c r="B469" s="192"/>
      <c r="C469" s="193"/>
      <c r="D469" s="192"/>
      <c r="E469" s="192"/>
      <c r="F469" s="192"/>
      <c r="G469" s="192"/>
      <c r="H469" s="170"/>
      <c r="I469" s="192"/>
      <c r="J469" s="193"/>
      <c r="K469" s="192"/>
      <c r="L469" s="192"/>
      <c r="M469" s="175"/>
    </row>
    <row r="470" spans="2:13" x14ac:dyDescent="0.2">
      <c r="B470" s="192"/>
      <c r="C470" s="193"/>
      <c r="D470" s="192"/>
      <c r="E470" s="192"/>
      <c r="F470" s="192"/>
      <c r="G470" s="192"/>
      <c r="H470" s="170"/>
      <c r="I470" s="192"/>
      <c r="J470" s="193"/>
      <c r="K470" s="192"/>
      <c r="L470" s="192"/>
      <c r="M470" s="175"/>
    </row>
    <row r="471" spans="2:13" x14ac:dyDescent="0.2">
      <c r="B471" s="192"/>
      <c r="C471" s="193"/>
      <c r="D471" s="192"/>
      <c r="E471" s="192"/>
      <c r="F471" s="192"/>
      <c r="G471" s="192"/>
      <c r="H471" s="170"/>
      <c r="I471" s="192"/>
      <c r="J471" s="193"/>
      <c r="K471" s="192"/>
      <c r="L471" s="192"/>
      <c r="M471" s="175"/>
    </row>
    <row r="472" spans="2:13" x14ac:dyDescent="0.2">
      <c r="B472" s="192"/>
      <c r="C472" s="193"/>
      <c r="D472" s="192"/>
      <c r="E472" s="192"/>
      <c r="F472" s="192"/>
      <c r="G472" s="192"/>
      <c r="H472" s="170"/>
      <c r="I472" s="192"/>
      <c r="J472" s="193"/>
      <c r="K472" s="192"/>
      <c r="L472" s="192"/>
      <c r="M472" s="175"/>
    </row>
    <row r="473" spans="2:13" x14ac:dyDescent="0.2">
      <c r="B473" s="192"/>
      <c r="C473" s="193"/>
      <c r="D473" s="192"/>
      <c r="E473" s="192"/>
      <c r="F473" s="192"/>
      <c r="G473" s="192"/>
      <c r="H473" s="170"/>
      <c r="I473" s="192"/>
      <c r="J473" s="193"/>
      <c r="K473" s="192"/>
      <c r="L473" s="192"/>
      <c r="M473" s="175"/>
    </row>
    <row r="474" spans="2:13" x14ac:dyDescent="0.2">
      <c r="B474" s="192"/>
      <c r="C474" s="193"/>
      <c r="D474" s="192"/>
      <c r="E474" s="192"/>
      <c r="F474" s="192"/>
      <c r="G474" s="192"/>
      <c r="H474" s="170"/>
      <c r="I474" s="192"/>
      <c r="J474" s="193"/>
      <c r="K474" s="192"/>
      <c r="L474" s="192"/>
      <c r="M474" s="175"/>
    </row>
    <row r="475" spans="2:13" x14ac:dyDescent="0.2">
      <c r="B475" s="192"/>
      <c r="C475" s="193"/>
      <c r="D475" s="192"/>
      <c r="E475" s="192"/>
      <c r="F475" s="192"/>
      <c r="G475" s="192"/>
      <c r="H475" s="170"/>
      <c r="I475" s="192"/>
      <c r="J475" s="193"/>
      <c r="K475" s="192"/>
      <c r="L475" s="192"/>
      <c r="M475" s="175"/>
    </row>
    <row r="476" spans="2:13" x14ac:dyDescent="0.2">
      <c r="B476" s="192"/>
      <c r="C476" s="193"/>
      <c r="D476" s="192"/>
      <c r="E476" s="192"/>
      <c r="F476" s="192"/>
      <c r="G476" s="192"/>
      <c r="H476" s="170"/>
      <c r="I476" s="192"/>
      <c r="J476" s="193"/>
      <c r="K476" s="192"/>
      <c r="L476" s="192"/>
      <c r="M476" s="175"/>
    </row>
    <row r="477" spans="2:13" x14ac:dyDescent="0.2">
      <c r="B477" s="192"/>
      <c r="C477" s="193"/>
      <c r="D477" s="192"/>
      <c r="E477" s="192"/>
      <c r="F477" s="192"/>
      <c r="G477" s="192"/>
      <c r="H477" s="170"/>
      <c r="I477" s="192"/>
      <c r="J477" s="193"/>
      <c r="K477" s="192"/>
      <c r="L477" s="192"/>
      <c r="M477" s="175"/>
    </row>
    <row r="478" spans="2:13" x14ac:dyDescent="0.2">
      <c r="B478" s="192"/>
      <c r="C478" s="193"/>
      <c r="D478" s="192"/>
      <c r="E478" s="192"/>
      <c r="F478" s="192"/>
      <c r="G478" s="192"/>
      <c r="H478" s="170"/>
      <c r="I478" s="192"/>
      <c r="J478" s="193"/>
      <c r="K478" s="192"/>
      <c r="L478" s="192"/>
      <c r="M478" s="175"/>
    </row>
    <row r="479" spans="2:13" x14ac:dyDescent="0.2">
      <c r="B479" s="192"/>
      <c r="C479" s="193"/>
      <c r="D479" s="192"/>
      <c r="E479" s="192"/>
      <c r="F479" s="192"/>
      <c r="G479" s="192"/>
      <c r="H479" s="170"/>
      <c r="I479" s="192"/>
      <c r="J479" s="193"/>
      <c r="K479" s="192"/>
      <c r="L479" s="192"/>
      <c r="M479" s="175"/>
    </row>
    <row r="480" spans="2:13" x14ac:dyDescent="0.2">
      <c r="B480" s="192"/>
      <c r="C480" s="193"/>
      <c r="D480" s="192"/>
      <c r="E480" s="192"/>
      <c r="F480" s="192"/>
      <c r="G480" s="192"/>
      <c r="H480" s="170"/>
      <c r="I480" s="192"/>
      <c r="J480" s="193"/>
      <c r="K480" s="192"/>
      <c r="L480" s="192"/>
      <c r="M480" s="175"/>
    </row>
    <row r="481" spans="2:13" x14ac:dyDescent="0.2">
      <c r="B481" s="192"/>
      <c r="C481" s="193"/>
      <c r="D481" s="192"/>
      <c r="E481" s="192"/>
      <c r="F481" s="192"/>
      <c r="G481" s="192"/>
      <c r="H481" s="170"/>
      <c r="I481" s="192"/>
      <c r="J481" s="193"/>
      <c r="K481" s="192"/>
      <c r="L481" s="192"/>
      <c r="M481" s="175"/>
    </row>
    <row r="482" spans="2:13" x14ac:dyDescent="0.2">
      <c r="B482" s="192"/>
      <c r="C482" s="193"/>
      <c r="D482" s="192"/>
      <c r="E482" s="192"/>
      <c r="F482" s="192"/>
      <c r="G482" s="192"/>
      <c r="H482" s="170"/>
      <c r="I482" s="192"/>
      <c r="J482" s="193"/>
      <c r="K482" s="192"/>
      <c r="L482" s="192"/>
      <c r="M482" s="175"/>
    </row>
    <row r="483" spans="2:13" x14ac:dyDescent="0.2">
      <c r="B483" s="192"/>
      <c r="C483" s="193"/>
      <c r="D483" s="192"/>
      <c r="E483" s="192"/>
      <c r="F483" s="192"/>
      <c r="G483" s="192"/>
      <c r="H483" s="170"/>
      <c r="I483" s="192"/>
      <c r="J483" s="193"/>
      <c r="K483" s="192"/>
      <c r="L483" s="192"/>
      <c r="M483" s="175"/>
    </row>
    <row r="484" spans="2:13" x14ac:dyDescent="0.2">
      <c r="B484" s="192"/>
      <c r="C484" s="193"/>
      <c r="D484" s="192"/>
      <c r="E484" s="192"/>
      <c r="F484" s="192"/>
      <c r="G484" s="192"/>
      <c r="H484" s="170"/>
      <c r="I484" s="192"/>
      <c r="J484" s="193"/>
      <c r="K484" s="192"/>
      <c r="L484" s="192"/>
      <c r="M484" s="175"/>
    </row>
    <row r="485" spans="2:13" x14ac:dyDescent="0.2">
      <c r="B485" s="192"/>
      <c r="C485" s="193"/>
      <c r="D485" s="192"/>
      <c r="E485" s="192"/>
      <c r="F485" s="192"/>
      <c r="G485" s="192"/>
      <c r="H485" s="170"/>
      <c r="I485" s="192"/>
      <c r="J485" s="193"/>
      <c r="K485" s="192"/>
      <c r="L485" s="192"/>
      <c r="M485" s="175"/>
    </row>
    <row r="486" spans="2:13" x14ac:dyDescent="0.2">
      <c r="B486" s="192"/>
      <c r="C486" s="193"/>
      <c r="D486" s="192"/>
      <c r="E486" s="192"/>
      <c r="F486" s="192"/>
      <c r="G486" s="192"/>
      <c r="H486" s="170"/>
      <c r="I486" s="192"/>
      <c r="J486" s="193"/>
      <c r="K486" s="192"/>
      <c r="L486" s="192"/>
      <c r="M486" s="175"/>
    </row>
    <row r="487" spans="2:13" x14ac:dyDescent="0.2">
      <c r="B487" s="192"/>
      <c r="C487" s="193"/>
      <c r="D487" s="192"/>
      <c r="E487" s="192"/>
      <c r="F487" s="192"/>
      <c r="G487" s="192"/>
      <c r="H487" s="170"/>
      <c r="I487" s="192"/>
      <c r="J487" s="193"/>
      <c r="K487" s="192"/>
      <c r="L487" s="192"/>
      <c r="M487" s="175"/>
    </row>
    <row r="488" spans="2:13" x14ac:dyDescent="0.2">
      <c r="B488" s="192"/>
      <c r="C488" s="193"/>
      <c r="D488" s="192"/>
      <c r="E488" s="192"/>
      <c r="F488" s="192"/>
      <c r="G488" s="192"/>
      <c r="H488" s="170"/>
      <c r="I488" s="192"/>
      <c r="J488" s="193"/>
      <c r="K488" s="192"/>
      <c r="L488" s="192"/>
      <c r="M488" s="175"/>
    </row>
    <row r="489" spans="2:13" x14ac:dyDescent="0.2">
      <c r="B489" s="192"/>
      <c r="C489" s="193"/>
      <c r="D489" s="192"/>
      <c r="E489" s="192"/>
      <c r="F489" s="192"/>
      <c r="G489" s="192"/>
      <c r="H489" s="170"/>
      <c r="I489" s="192"/>
      <c r="J489" s="193"/>
      <c r="K489" s="192"/>
      <c r="L489" s="192"/>
      <c r="M489" s="175"/>
    </row>
    <row r="490" spans="2:13" x14ac:dyDescent="0.2">
      <c r="B490" s="192"/>
      <c r="C490" s="193"/>
      <c r="D490" s="192"/>
      <c r="E490" s="192"/>
      <c r="F490" s="192"/>
      <c r="G490" s="192"/>
      <c r="H490" s="170"/>
      <c r="I490" s="192"/>
      <c r="J490" s="193"/>
      <c r="K490" s="192"/>
      <c r="L490" s="192"/>
      <c r="M490" s="175"/>
    </row>
    <row r="491" spans="2:13" x14ac:dyDescent="0.2">
      <c r="B491" s="192"/>
      <c r="C491" s="193"/>
      <c r="D491" s="192"/>
      <c r="E491" s="192"/>
      <c r="F491" s="192"/>
      <c r="G491" s="192"/>
      <c r="H491" s="170"/>
      <c r="I491" s="192"/>
      <c r="J491" s="193"/>
      <c r="K491" s="192"/>
      <c r="L491" s="192"/>
      <c r="M491" s="175"/>
    </row>
    <row r="492" spans="2:13" x14ac:dyDescent="0.2">
      <c r="B492" s="192"/>
      <c r="C492" s="193"/>
      <c r="D492" s="192"/>
      <c r="E492" s="192"/>
      <c r="F492" s="192"/>
      <c r="G492" s="192"/>
      <c r="H492" s="170"/>
      <c r="I492" s="192"/>
      <c r="J492" s="193"/>
      <c r="K492" s="192"/>
      <c r="L492" s="192"/>
      <c r="M492" s="175"/>
    </row>
    <row r="493" spans="2:13" x14ac:dyDescent="0.2">
      <c r="B493" s="192"/>
      <c r="C493" s="193"/>
      <c r="D493" s="192"/>
      <c r="E493" s="192"/>
      <c r="F493" s="192"/>
      <c r="G493" s="192"/>
      <c r="H493" s="170"/>
      <c r="I493" s="192"/>
      <c r="J493" s="193"/>
      <c r="K493" s="192"/>
      <c r="L493" s="192"/>
      <c r="M493" s="175"/>
    </row>
    <row r="494" spans="2:13" x14ac:dyDescent="0.2">
      <c r="B494" s="192"/>
      <c r="C494" s="193"/>
      <c r="D494" s="192"/>
      <c r="E494" s="192"/>
      <c r="F494" s="192"/>
      <c r="G494" s="192"/>
      <c r="H494" s="170"/>
      <c r="I494" s="192"/>
      <c r="J494" s="193"/>
      <c r="K494" s="192"/>
      <c r="L494" s="192"/>
      <c r="M494" s="175"/>
    </row>
    <row r="495" spans="2:13" x14ac:dyDescent="0.2">
      <c r="B495" s="192"/>
      <c r="C495" s="193"/>
      <c r="D495" s="192"/>
      <c r="E495" s="192"/>
      <c r="F495" s="192"/>
      <c r="G495" s="192"/>
      <c r="H495" s="170"/>
      <c r="I495" s="192"/>
      <c r="J495" s="193"/>
      <c r="K495" s="192"/>
      <c r="L495" s="192"/>
      <c r="M495" s="175"/>
    </row>
    <row r="496" spans="2:13" x14ac:dyDescent="0.2">
      <c r="B496" s="192"/>
      <c r="C496" s="193"/>
      <c r="D496" s="192"/>
      <c r="E496" s="192"/>
      <c r="F496" s="192"/>
      <c r="G496" s="192"/>
      <c r="H496" s="170"/>
      <c r="I496" s="192"/>
      <c r="J496" s="193"/>
      <c r="K496" s="192"/>
      <c r="L496" s="192"/>
      <c r="M496" s="175"/>
    </row>
    <row r="497" spans="2:13" x14ac:dyDescent="0.2">
      <c r="B497" s="192"/>
      <c r="C497" s="193"/>
      <c r="D497" s="192"/>
      <c r="E497" s="192"/>
      <c r="F497" s="192"/>
      <c r="G497" s="192"/>
      <c r="H497" s="170"/>
      <c r="I497" s="192"/>
      <c r="J497" s="193"/>
      <c r="K497" s="192"/>
      <c r="L497" s="192"/>
      <c r="M497" s="175"/>
    </row>
    <row r="498" spans="2:13" x14ac:dyDescent="0.2">
      <c r="B498" s="192"/>
      <c r="C498" s="193"/>
      <c r="D498" s="192"/>
      <c r="E498" s="192"/>
      <c r="F498" s="192"/>
      <c r="G498" s="192"/>
      <c r="H498" s="170"/>
      <c r="I498" s="192"/>
      <c r="J498" s="193"/>
      <c r="K498" s="192"/>
      <c r="L498" s="192"/>
      <c r="M498" s="175"/>
    </row>
    <row r="499" spans="2:13" x14ac:dyDescent="0.2">
      <c r="B499" s="192"/>
      <c r="C499" s="193"/>
      <c r="D499" s="192"/>
      <c r="E499" s="192"/>
      <c r="F499" s="192"/>
      <c r="G499" s="192"/>
      <c r="H499" s="170"/>
      <c r="I499" s="192"/>
      <c r="J499" s="193"/>
      <c r="K499" s="192"/>
      <c r="L499" s="192"/>
      <c r="M499" s="175"/>
    </row>
    <row r="500" spans="2:13" x14ac:dyDescent="0.2">
      <c r="B500" s="192"/>
      <c r="C500" s="193"/>
      <c r="D500" s="192"/>
      <c r="E500" s="192"/>
      <c r="F500" s="192"/>
      <c r="G500" s="192"/>
      <c r="H500" s="170"/>
      <c r="I500" s="192"/>
      <c r="J500" s="193"/>
      <c r="K500" s="192"/>
      <c r="L500" s="192"/>
      <c r="M500" s="175"/>
    </row>
    <row r="501" spans="2:13" x14ac:dyDescent="0.2">
      <c r="B501" s="192"/>
      <c r="C501" s="193"/>
      <c r="D501" s="192"/>
      <c r="E501" s="192"/>
      <c r="F501" s="192"/>
      <c r="G501" s="192"/>
      <c r="H501" s="170"/>
      <c r="I501" s="192"/>
      <c r="J501" s="193"/>
      <c r="K501" s="192"/>
      <c r="L501" s="192"/>
      <c r="M501" s="175"/>
    </row>
    <row r="502" spans="2:13" x14ac:dyDescent="0.2">
      <c r="B502" s="192"/>
      <c r="C502" s="193"/>
      <c r="D502" s="192"/>
      <c r="E502" s="192"/>
      <c r="F502" s="192"/>
      <c r="G502" s="192"/>
      <c r="H502" s="170"/>
      <c r="I502" s="192"/>
      <c r="J502" s="193"/>
      <c r="K502" s="192"/>
      <c r="L502" s="192"/>
      <c r="M502" s="175"/>
    </row>
    <row r="503" spans="2:13" x14ac:dyDescent="0.2">
      <c r="B503" s="192"/>
      <c r="C503" s="193"/>
      <c r="D503" s="192"/>
      <c r="E503" s="192"/>
      <c r="F503" s="192"/>
      <c r="G503" s="192"/>
      <c r="H503" s="170"/>
      <c r="I503" s="192"/>
      <c r="J503" s="193"/>
      <c r="K503" s="192"/>
      <c r="L503" s="192"/>
      <c r="M503" s="175"/>
    </row>
    <row r="504" spans="2:13" x14ac:dyDescent="0.2">
      <c r="B504" s="192"/>
      <c r="C504" s="193"/>
      <c r="D504" s="192"/>
      <c r="E504" s="192"/>
      <c r="F504" s="192"/>
      <c r="G504" s="192"/>
      <c r="H504" s="170"/>
      <c r="I504" s="192"/>
      <c r="J504" s="193"/>
      <c r="K504" s="192"/>
      <c r="L504" s="192"/>
      <c r="M504" s="175"/>
    </row>
    <row r="505" spans="2:13" x14ac:dyDescent="0.2">
      <c r="B505" s="192"/>
      <c r="C505" s="193"/>
      <c r="D505" s="192"/>
      <c r="E505" s="192"/>
      <c r="F505" s="192"/>
      <c r="G505" s="192"/>
      <c r="H505" s="170"/>
      <c r="I505" s="192"/>
      <c r="J505" s="193"/>
      <c r="K505" s="192"/>
      <c r="L505" s="192"/>
      <c r="M505" s="175"/>
    </row>
    <row r="506" spans="2:13" x14ac:dyDescent="0.2">
      <c r="B506" s="192"/>
      <c r="C506" s="193"/>
      <c r="D506" s="192"/>
      <c r="E506" s="192"/>
      <c r="F506" s="192"/>
      <c r="G506" s="192"/>
      <c r="H506" s="170"/>
      <c r="I506" s="192"/>
      <c r="J506" s="193"/>
      <c r="K506" s="192"/>
      <c r="L506" s="192"/>
      <c r="M506" s="175"/>
    </row>
    <row r="507" spans="2:13" x14ac:dyDescent="0.2">
      <c r="B507" s="192"/>
      <c r="C507" s="193"/>
      <c r="D507" s="192"/>
      <c r="E507" s="192"/>
      <c r="F507" s="192"/>
      <c r="G507" s="192"/>
      <c r="H507" s="170"/>
      <c r="I507" s="192"/>
      <c r="J507" s="193"/>
      <c r="K507" s="192"/>
      <c r="L507" s="192"/>
      <c r="M507" s="175"/>
    </row>
    <row r="508" spans="2:13" x14ac:dyDescent="0.2">
      <c r="B508" s="192"/>
      <c r="C508" s="193"/>
      <c r="D508" s="192"/>
      <c r="E508" s="192"/>
      <c r="F508" s="192"/>
      <c r="G508" s="192"/>
      <c r="H508" s="170"/>
      <c r="I508" s="192"/>
      <c r="J508" s="193"/>
      <c r="K508" s="192"/>
      <c r="L508" s="192"/>
      <c r="M508" s="175"/>
    </row>
    <row r="509" spans="2:13" x14ac:dyDescent="0.2">
      <c r="B509" s="192"/>
      <c r="C509" s="193"/>
      <c r="D509" s="192"/>
      <c r="E509" s="192"/>
      <c r="F509" s="192"/>
      <c r="G509" s="192"/>
      <c r="H509" s="170"/>
      <c r="I509" s="192"/>
      <c r="J509" s="193"/>
      <c r="K509" s="192"/>
      <c r="L509" s="192"/>
      <c r="M509" s="175"/>
    </row>
    <row r="510" spans="2:13" x14ac:dyDescent="0.2">
      <c r="B510" s="192"/>
      <c r="C510" s="193"/>
      <c r="D510" s="192"/>
      <c r="E510" s="192"/>
      <c r="F510" s="192"/>
      <c r="G510" s="192"/>
      <c r="H510" s="170"/>
      <c r="I510" s="192"/>
      <c r="J510" s="193"/>
      <c r="K510" s="192"/>
      <c r="L510" s="192"/>
      <c r="M510" s="175"/>
    </row>
    <row r="511" spans="2:13" x14ac:dyDescent="0.2">
      <c r="B511" s="192"/>
      <c r="C511" s="193"/>
      <c r="D511" s="192"/>
      <c r="E511" s="192"/>
      <c r="F511" s="192"/>
      <c r="G511" s="192"/>
      <c r="H511" s="170"/>
      <c r="I511" s="192"/>
      <c r="J511" s="193"/>
      <c r="K511" s="192"/>
      <c r="L511" s="192"/>
      <c r="M511" s="175"/>
    </row>
    <row r="512" spans="2:13" x14ac:dyDescent="0.2">
      <c r="B512" s="192"/>
      <c r="C512" s="193"/>
      <c r="D512" s="192"/>
      <c r="E512" s="192"/>
      <c r="F512" s="192"/>
      <c r="G512" s="192"/>
      <c r="H512" s="170"/>
      <c r="I512" s="192"/>
      <c r="J512" s="193"/>
      <c r="K512" s="192"/>
      <c r="L512" s="192"/>
      <c r="M512" s="175"/>
    </row>
    <row r="513" spans="2:13" x14ac:dyDescent="0.2">
      <c r="B513" s="192"/>
      <c r="C513" s="193"/>
      <c r="D513" s="192"/>
      <c r="E513" s="192"/>
      <c r="F513" s="192"/>
      <c r="G513" s="192"/>
      <c r="H513" s="170"/>
      <c r="I513" s="192"/>
      <c r="J513" s="193"/>
      <c r="K513" s="192"/>
      <c r="L513" s="192"/>
      <c r="M513" s="175"/>
    </row>
    <row r="514" spans="2:13" x14ac:dyDescent="0.2">
      <c r="B514" s="192"/>
      <c r="C514" s="193"/>
      <c r="D514" s="192"/>
      <c r="E514" s="192"/>
      <c r="F514" s="192"/>
      <c r="G514" s="192"/>
      <c r="H514" s="170"/>
      <c r="I514" s="192"/>
      <c r="J514" s="193"/>
      <c r="K514" s="192"/>
      <c r="L514" s="192"/>
      <c r="M514" s="175"/>
    </row>
    <row r="515" spans="2:13" x14ac:dyDescent="0.2">
      <c r="B515" s="192"/>
      <c r="C515" s="193"/>
      <c r="D515" s="192"/>
      <c r="E515" s="192"/>
      <c r="F515" s="192"/>
      <c r="G515" s="192"/>
      <c r="H515" s="170"/>
      <c r="I515" s="192"/>
      <c r="J515" s="193"/>
      <c r="K515" s="192"/>
      <c r="L515" s="192"/>
      <c r="M515" s="175"/>
    </row>
    <row r="516" spans="2:13" x14ac:dyDescent="0.2">
      <c r="B516" s="192"/>
      <c r="C516" s="193"/>
      <c r="D516" s="192"/>
      <c r="E516" s="192"/>
      <c r="F516" s="192"/>
      <c r="G516" s="192"/>
      <c r="H516" s="170"/>
      <c r="I516" s="192"/>
      <c r="J516" s="193"/>
      <c r="K516" s="192"/>
      <c r="L516" s="192"/>
      <c r="M516" s="175"/>
    </row>
    <row r="517" spans="2:13" x14ac:dyDescent="0.2">
      <c r="B517" s="192"/>
      <c r="C517" s="193"/>
      <c r="D517" s="192"/>
      <c r="E517" s="192"/>
      <c r="F517" s="192"/>
      <c r="G517" s="192"/>
      <c r="H517" s="170"/>
      <c r="I517" s="192"/>
      <c r="J517" s="193"/>
      <c r="K517" s="192"/>
      <c r="L517" s="192"/>
      <c r="M517" s="175"/>
    </row>
    <row r="518" spans="2:13" x14ac:dyDescent="0.2">
      <c r="B518" s="192"/>
      <c r="C518" s="193"/>
      <c r="D518" s="192"/>
      <c r="E518" s="192"/>
      <c r="F518" s="192"/>
      <c r="G518" s="192"/>
      <c r="H518" s="170"/>
      <c r="I518" s="192"/>
      <c r="J518" s="193"/>
      <c r="K518" s="192"/>
      <c r="L518" s="192"/>
      <c r="M518" s="175"/>
    </row>
    <row r="519" spans="2:13" x14ac:dyDescent="0.2">
      <c r="B519" s="192"/>
      <c r="C519" s="193"/>
      <c r="D519" s="192"/>
      <c r="E519" s="192"/>
      <c r="F519" s="192"/>
      <c r="G519" s="192"/>
      <c r="H519" s="170"/>
      <c r="I519" s="192"/>
      <c r="J519" s="193"/>
      <c r="K519" s="192"/>
      <c r="L519" s="192"/>
      <c r="M519" s="175"/>
    </row>
    <row r="520" spans="2:13" x14ac:dyDescent="0.2">
      <c r="B520" s="192"/>
      <c r="C520" s="193"/>
      <c r="D520" s="192"/>
      <c r="E520" s="192"/>
      <c r="F520" s="192"/>
      <c r="G520" s="192"/>
      <c r="H520" s="170"/>
      <c r="I520" s="192"/>
      <c r="J520" s="193"/>
      <c r="K520" s="192"/>
      <c r="L520" s="192"/>
      <c r="M520" s="175"/>
    </row>
    <row r="521" spans="2:13" x14ac:dyDescent="0.2">
      <c r="B521" s="192"/>
      <c r="C521" s="193"/>
      <c r="D521" s="192"/>
      <c r="E521" s="192"/>
      <c r="F521" s="192"/>
      <c r="G521" s="192"/>
      <c r="H521" s="170"/>
      <c r="I521" s="192"/>
      <c r="J521" s="193"/>
      <c r="K521" s="192"/>
      <c r="L521" s="192"/>
      <c r="M521" s="175"/>
    </row>
    <row r="522" spans="2:13" x14ac:dyDescent="0.2">
      <c r="B522" s="192"/>
      <c r="C522" s="193"/>
      <c r="D522" s="192"/>
      <c r="E522" s="192"/>
      <c r="F522" s="192"/>
      <c r="G522" s="192"/>
      <c r="H522" s="170"/>
      <c r="I522" s="192"/>
      <c r="J522" s="193"/>
      <c r="K522" s="192"/>
      <c r="L522" s="192"/>
      <c r="M522" s="175"/>
    </row>
    <row r="523" spans="2:13" x14ac:dyDescent="0.2">
      <c r="B523" s="192"/>
      <c r="C523" s="193"/>
      <c r="D523" s="192"/>
      <c r="E523" s="192"/>
      <c r="F523" s="192"/>
      <c r="G523" s="192"/>
      <c r="H523" s="170"/>
      <c r="I523" s="192"/>
      <c r="J523" s="193"/>
      <c r="K523" s="192"/>
      <c r="L523" s="192"/>
      <c r="M523" s="175"/>
    </row>
    <row r="524" spans="2:13" x14ac:dyDescent="0.2">
      <c r="B524" s="192"/>
      <c r="C524" s="193"/>
      <c r="D524" s="192"/>
      <c r="E524" s="192"/>
      <c r="F524" s="192"/>
      <c r="G524" s="192"/>
      <c r="H524" s="170"/>
      <c r="I524" s="192"/>
      <c r="J524" s="193"/>
      <c r="K524" s="192"/>
      <c r="L524" s="192"/>
      <c r="M524" s="175"/>
    </row>
    <row r="525" spans="2:13" x14ac:dyDescent="0.2">
      <c r="B525" s="192"/>
      <c r="C525" s="193"/>
      <c r="D525" s="192"/>
      <c r="E525" s="192"/>
      <c r="F525" s="192"/>
      <c r="G525" s="192"/>
      <c r="H525" s="170"/>
      <c r="I525" s="192"/>
      <c r="J525" s="193"/>
      <c r="K525" s="192"/>
      <c r="L525" s="192"/>
      <c r="M525" s="175"/>
    </row>
    <row r="526" spans="2:13" x14ac:dyDescent="0.2">
      <c r="B526" s="192"/>
      <c r="C526" s="193"/>
      <c r="D526" s="192"/>
      <c r="E526" s="192"/>
      <c r="F526" s="192"/>
      <c r="G526" s="192"/>
      <c r="H526" s="170"/>
      <c r="I526" s="192"/>
      <c r="J526" s="193"/>
      <c r="K526" s="192"/>
      <c r="L526" s="192"/>
      <c r="M526" s="175"/>
    </row>
    <row r="527" spans="2:13" x14ac:dyDescent="0.2">
      <c r="B527" s="192"/>
      <c r="C527" s="193"/>
      <c r="D527" s="192"/>
      <c r="E527" s="192"/>
      <c r="F527" s="192"/>
      <c r="G527" s="192"/>
      <c r="H527" s="170"/>
      <c r="I527" s="192"/>
      <c r="J527" s="193"/>
      <c r="K527" s="192"/>
      <c r="L527" s="192"/>
      <c r="M527" s="175"/>
    </row>
    <row r="528" spans="2:13" x14ac:dyDescent="0.2">
      <c r="B528" s="192"/>
      <c r="C528" s="193"/>
      <c r="D528" s="192"/>
      <c r="E528" s="192"/>
      <c r="F528" s="192"/>
      <c r="G528" s="192"/>
      <c r="H528" s="170"/>
      <c r="I528" s="192"/>
      <c r="J528" s="193"/>
      <c r="K528" s="192"/>
      <c r="L528" s="192"/>
      <c r="M528" s="175"/>
    </row>
    <row r="529" spans="2:13" x14ac:dyDescent="0.2">
      <c r="B529" s="192"/>
      <c r="C529" s="193"/>
      <c r="D529" s="192"/>
      <c r="E529" s="192"/>
      <c r="F529" s="192"/>
      <c r="G529" s="192"/>
      <c r="H529" s="170"/>
      <c r="I529" s="192"/>
      <c r="J529" s="193"/>
      <c r="K529" s="192"/>
      <c r="L529" s="192"/>
      <c r="M529" s="175"/>
    </row>
    <row r="530" spans="2:13" x14ac:dyDescent="0.2">
      <c r="B530" s="192"/>
      <c r="C530" s="193"/>
      <c r="D530" s="192"/>
      <c r="E530" s="192"/>
      <c r="F530" s="192"/>
      <c r="G530" s="192"/>
      <c r="H530" s="170"/>
      <c r="I530" s="192"/>
      <c r="J530" s="193"/>
      <c r="K530" s="192"/>
      <c r="L530" s="192"/>
      <c r="M530" s="175"/>
    </row>
    <row r="531" spans="2:13" x14ac:dyDescent="0.2">
      <c r="B531" s="192"/>
      <c r="C531" s="193"/>
      <c r="D531" s="192"/>
      <c r="E531" s="192"/>
      <c r="F531" s="192"/>
      <c r="G531" s="192"/>
      <c r="H531" s="170"/>
      <c r="I531" s="192"/>
      <c r="J531" s="193"/>
      <c r="K531" s="192"/>
      <c r="L531" s="192"/>
      <c r="M531" s="175"/>
    </row>
    <row r="532" spans="2:13" x14ac:dyDescent="0.2">
      <c r="B532" s="192"/>
      <c r="C532" s="193"/>
      <c r="D532" s="192"/>
      <c r="E532" s="192"/>
      <c r="F532" s="192"/>
      <c r="G532" s="192"/>
      <c r="H532" s="170"/>
      <c r="I532" s="192"/>
      <c r="J532" s="193"/>
      <c r="K532" s="192"/>
      <c r="L532" s="192"/>
      <c r="M532" s="175"/>
    </row>
    <row r="533" spans="2:13" x14ac:dyDescent="0.2">
      <c r="B533" s="192"/>
      <c r="C533" s="193"/>
      <c r="D533" s="192"/>
      <c r="E533" s="192"/>
      <c r="F533" s="192"/>
      <c r="G533" s="192"/>
      <c r="H533" s="170"/>
      <c r="I533" s="192"/>
      <c r="J533" s="193"/>
      <c r="K533" s="192"/>
      <c r="L533" s="192"/>
      <c r="M533" s="175"/>
    </row>
    <row r="534" spans="2:13" x14ac:dyDescent="0.2">
      <c r="B534" s="192"/>
      <c r="C534" s="193"/>
      <c r="D534" s="192"/>
      <c r="E534" s="192"/>
      <c r="F534" s="192"/>
      <c r="G534" s="192"/>
      <c r="H534" s="170"/>
      <c r="I534" s="192"/>
      <c r="J534" s="193"/>
      <c r="K534" s="192"/>
      <c r="L534" s="192"/>
      <c r="M534" s="175"/>
    </row>
    <row r="535" spans="2:13" x14ac:dyDescent="0.2">
      <c r="B535" s="192"/>
      <c r="C535" s="193"/>
      <c r="D535" s="192"/>
      <c r="E535" s="192"/>
      <c r="F535" s="192"/>
      <c r="G535" s="192"/>
      <c r="H535" s="170"/>
      <c r="I535" s="192"/>
      <c r="J535" s="193"/>
      <c r="K535" s="192"/>
      <c r="L535" s="192"/>
      <c r="M535" s="175"/>
    </row>
    <row r="536" spans="2:13" x14ac:dyDescent="0.2">
      <c r="B536" s="192"/>
      <c r="C536" s="193"/>
      <c r="D536" s="192"/>
      <c r="E536" s="192"/>
      <c r="F536" s="192"/>
      <c r="G536" s="192"/>
      <c r="H536" s="170"/>
      <c r="I536" s="192"/>
      <c r="J536" s="193"/>
      <c r="K536" s="192"/>
      <c r="L536" s="192"/>
      <c r="M536" s="175"/>
    </row>
    <row r="537" spans="2:13" x14ac:dyDescent="0.2">
      <c r="B537" s="192"/>
      <c r="C537" s="193"/>
      <c r="D537" s="192"/>
      <c r="E537" s="192"/>
      <c r="F537" s="192"/>
      <c r="G537" s="192"/>
      <c r="H537" s="170"/>
      <c r="I537" s="192"/>
      <c r="J537" s="193"/>
      <c r="K537" s="192"/>
      <c r="L537" s="192"/>
      <c r="M537" s="175"/>
    </row>
    <row r="538" spans="2:13" x14ac:dyDescent="0.2">
      <c r="B538" s="192"/>
      <c r="C538" s="193"/>
      <c r="D538" s="192"/>
      <c r="E538" s="192"/>
      <c r="F538" s="192"/>
      <c r="G538" s="192"/>
      <c r="H538" s="170"/>
      <c r="I538" s="192"/>
      <c r="J538" s="193"/>
      <c r="K538" s="192"/>
      <c r="L538" s="192"/>
      <c r="M538" s="175"/>
    </row>
    <row r="539" spans="2:13" x14ac:dyDescent="0.2">
      <c r="B539" s="192"/>
      <c r="C539" s="193"/>
      <c r="D539" s="192"/>
      <c r="E539" s="192"/>
      <c r="F539" s="192"/>
      <c r="G539" s="192"/>
      <c r="H539" s="170"/>
      <c r="I539" s="192"/>
      <c r="J539" s="193"/>
      <c r="K539" s="192"/>
      <c r="L539" s="192"/>
      <c r="M539" s="175"/>
    </row>
    <row r="540" spans="2:13" x14ac:dyDescent="0.2">
      <c r="B540" s="192"/>
      <c r="C540" s="193"/>
      <c r="D540" s="192"/>
      <c r="E540" s="192"/>
      <c r="F540" s="192"/>
      <c r="G540" s="192"/>
      <c r="H540" s="170"/>
      <c r="I540" s="192"/>
      <c r="J540" s="193"/>
      <c r="K540" s="192"/>
      <c r="L540" s="192"/>
      <c r="M540" s="175"/>
    </row>
    <row r="541" spans="2:13" x14ac:dyDescent="0.2">
      <c r="B541" s="192"/>
      <c r="C541" s="193"/>
      <c r="D541" s="192"/>
      <c r="E541" s="192"/>
      <c r="F541" s="192"/>
      <c r="G541" s="192"/>
      <c r="H541" s="170"/>
      <c r="I541" s="192"/>
      <c r="J541" s="193"/>
      <c r="K541" s="192"/>
      <c r="L541" s="192"/>
      <c r="M541" s="175"/>
    </row>
    <row r="542" spans="2:13" x14ac:dyDescent="0.2">
      <c r="B542" s="192"/>
      <c r="C542" s="193"/>
      <c r="D542" s="192"/>
      <c r="E542" s="192"/>
      <c r="F542" s="192"/>
      <c r="G542" s="192"/>
      <c r="H542" s="170"/>
      <c r="I542" s="192"/>
      <c r="J542" s="193"/>
      <c r="K542" s="192"/>
      <c r="L542" s="192"/>
      <c r="M542" s="175"/>
    </row>
    <row r="543" spans="2:13" x14ac:dyDescent="0.2">
      <c r="B543" s="192"/>
      <c r="C543" s="193"/>
      <c r="D543" s="192"/>
      <c r="E543" s="192"/>
      <c r="F543" s="192"/>
      <c r="G543" s="192"/>
      <c r="H543" s="170"/>
      <c r="I543" s="192"/>
      <c r="J543" s="193"/>
      <c r="K543" s="192"/>
      <c r="L543" s="192"/>
      <c r="M543" s="175"/>
    </row>
    <row r="544" spans="2:13" x14ac:dyDescent="0.2">
      <c r="B544" s="192"/>
      <c r="C544" s="193"/>
      <c r="D544" s="192"/>
      <c r="E544" s="192"/>
      <c r="F544" s="192"/>
      <c r="G544" s="192"/>
      <c r="H544" s="170"/>
      <c r="I544" s="192"/>
      <c r="J544" s="193"/>
      <c r="K544" s="192"/>
      <c r="L544" s="192"/>
      <c r="M544" s="175"/>
    </row>
    <row r="545" spans="2:13" x14ac:dyDescent="0.2">
      <c r="B545" s="192"/>
      <c r="C545" s="193"/>
      <c r="D545" s="192"/>
      <c r="E545" s="192"/>
      <c r="F545" s="192"/>
      <c r="G545" s="192"/>
      <c r="H545" s="170"/>
      <c r="I545" s="192"/>
      <c r="J545" s="193"/>
      <c r="K545" s="192"/>
      <c r="L545" s="192"/>
      <c r="M545" s="175"/>
    </row>
    <row r="546" spans="2:13" x14ac:dyDescent="0.2">
      <c r="B546" s="192"/>
      <c r="C546" s="193"/>
      <c r="D546" s="192"/>
      <c r="E546" s="192"/>
      <c r="F546" s="192"/>
      <c r="G546" s="192"/>
      <c r="H546" s="170"/>
      <c r="I546" s="192"/>
      <c r="J546" s="193"/>
      <c r="K546" s="192"/>
      <c r="L546" s="192"/>
      <c r="M546" s="175"/>
    </row>
    <row r="547" spans="2:13" x14ac:dyDescent="0.2">
      <c r="B547" s="192"/>
      <c r="C547" s="193"/>
      <c r="D547" s="192"/>
      <c r="E547" s="192"/>
      <c r="F547" s="192"/>
      <c r="G547" s="192"/>
      <c r="H547" s="170"/>
      <c r="I547" s="192"/>
      <c r="J547" s="193"/>
      <c r="K547" s="192"/>
      <c r="L547" s="192"/>
      <c r="M547" s="175"/>
    </row>
    <row r="548" spans="2:13" x14ac:dyDescent="0.2">
      <c r="B548" s="192"/>
      <c r="C548" s="193"/>
      <c r="D548" s="192"/>
      <c r="E548" s="192"/>
      <c r="F548" s="192"/>
      <c r="G548" s="192"/>
      <c r="H548" s="170"/>
      <c r="I548" s="192"/>
      <c r="J548" s="193"/>
      <c r="K548" s="192"/>
      <c r="L548" s="192"/>
      <c r="M548" s="175"/>
    </row>
    <row r="549" spans="2:13" x14ac:dyDescent="0.2">
      <c r="B549" s="192"/>
      <c r="C549" s="193"/>
      <c r="D549" s="192"/>
      <c r="E549" s="192"/>
      <c r="F549" s="192"/>
      <c r="G549" s="192"/>
      <c r="H549" s="170"/>
      <c r="I549" s="192"/>
      <c r="J549" s="193"/>
      <c r="K549" s="192"/>
      <c r="L549" s="192"/>
      <c r="M549" s="175"/>
    </row>
    <row r="550" spans="2:13" x14ac:dyDescent="0.2">
      <c r="B550" s="192"/>
      <c r="C550" s="193"/>
      <c r="D550" s="192"/>
      <c r="E550" s="192"/>
      <c r="F550" s="192"/>
      <c r="G550" s="192"/>
      <c r="H550" s="170"/>
      <c r="I550" s="192"/>
      <c r="J550" s="193"/>
      <c r="K550" s="192"/>
      <c r="L550" s="192"/>
      <c r="M550" s="175"/>
    </row>
    <row r="551" spans="2:13" x14ac:dyDescent="0.2">
      <c r="B551" s="192"/>
      <c r="C551" s="193"/>
      <c r="D551" s="192"/>
      <c r="E551" s="192"/>
      <c r="F551" s="192"/>
      <c r="G551" s="192"/>
      <c r="H551" s="170"/>
      <c r="I551" s="192"/>
      <c r="J551" s="193"/>
      <c r="K551" s="192"/>
      <c r="L551" s="192"/>
      <c r="M551" s="175"/>
    </row>
    <row r="552" spans="2:13" x14ac:dyDescent="0.2">
      <c r="B552" s="192"/>
      <c r="C552" s="193"/>
      <c r="D552" s="192"/>
      <c r="E552" s="192"/>
      <c r="F552" s="192"/>
      <c r="G552" s="192"/>
      <c r="H552" s="170"/>
      <c r="I552" s="192"/>
      <c r="J552" s="193"/>
      <c r="K552" s="192"/>
      <c r="L552" s="192"/>
      <c r="M552" s="175"/>
    </row>
    <row r="553" spans="2:13" x14ac:dyDescent="0.2">
      <c r="B553" s="192"/>
      <c r="C553" s="193"/>
      <c r="D553" s="192"/>
      <c r="E553" s="192"/>
      <c r="F553" s="192"/>
      <c r="G553" s="192"/>
      <c r="H553" s="170"/>
      <c r="I553" s="192"/>
      <c r="J553" s="193"/>
      <c r="K553" s="192"/>
      <c r="L553" s="192"/>
      <c r="M553" s="175"/>
    </row>
    <row r="554" spans="2:13" x14ac:dyDescent="0.2">
      <c r="B554" s="192"/>
      <c r="C554" s="193"/>
      <c r="D554" s="192"/>
      <c r="E554" s="192"/>
      <c r="F554" s="192"/>
      <c r="G554" s="192"/>
      <c r="H554" s="170"/>
      <c r="I554" s="192"/>
      <c r="J554" s="193"/>
      <c r="K554" s="192"/>
      <c r="L554" s="192"/>
      <c r="M554" s="175"/>
    </row>
    <row r="555" spans="2:13" x14ac:dyDescent="0.2">
      <c r="B555" s="192"/>
      <c r="C555" s="193"/>
      <c r="D555" s="192"/>
      <c r="E555" s="192"/>
      <c r="F555" s="192"/>
      <c r="G555" s="192"/>
      <c r="H555" s="170"/>
      <c r="I555" s="192"/>
      <c r="J555" s="193"/>
      <c r="K555" s="192"/>
      <c r="L555" s="192"/>
      <c r="M555" s="175"/>
    </row>
    <row r="556" spans="2:13" x14ac:dyDescent="0.2">
      <c r="B556" s="192"/>
      <c r="C556" s="193"/>
      <c r="D556" s="192"/>
      <c r="E556" s="192"/>
      <c r="F556" s="192"/>
      <c r="G556" s="192"/>
      <c r="H556" s="170"/>
      <c r="I556" s="192"/>
      <c r="J556" s="193"/>
      <c r="K556" s="192"/>
      <c r="L556" s="192"/>
      <c r="M556" s="175"/>
    </row>
    <row r="557" spans="2:13" x14ac:dyDescent="0.2">
      <c r="B557" s="192"/>
      <c r="C557" s="193"/>
      <c r="D557" s="192"/>
      <c r="E557" s="192"/>
      <c r="F557" s="192"/>
      <c r="G557" s="192"/>
      <c r="H557" s="170"/>
      <c r="I557" s="192"/>
      <c r="J557" s="193"/>
      <c r="K557" s="192"/>
      <c r="L557" s="192"/>
      <c r="M557" s="175"/>
    </row>
    <row r="558" spans="2:13" x14ac:dyDescent="0.2">
      <c r="B558" s="192"/>
      <c r="C558" s="193"/>
      <c r="D558" s="192"/>
      <c r="E558" s="192"/>
      <c r="F558" s="192"/>
      <c r="G558" s="192"/>
      <c r="H558" s="170"/>
      <c r="I558" s="192"/>
      <c r="J558" s="193"/>
      <c r="K558" s="192"/>
      <c r="L558" s="192"/>
      <c r="M558" s="175"/>
    </row>
    <row r="559" spans="2:13" x14ac:dyDescent="0.2">
      <c r="B559" s="192"/>
      <c r="C559" s="193"/>
      <c r="D559" s="192"/>
      <c r="E559" s="192"/>
      <c r="F559" s="192"/>
      <c r="G559" s="192"/>
      <c r="H559" s="170"/>
      <c r="I559" s="192"/>
      <c r="J559" s="193"/>
      <c r="K559" s="192"/>
      <c r="L559" s="192"/>
      <c r="M559" s="175"/>
    </row>
    <row r="560" spans="2:13" x14ac:dyDescent="0.2">
      <c r="B560" s="192"/>
      <c r="C560" s="193"/>
      <c r="D560" s="192"/>
      <c r="E560" s="192"/>
      <c r="F560" s="192"/>
      <c r="G560" s="192"/>
      <c r="H560" s="170"/>
      <c r="I560" s="192"/>
      <c r="J560" s="193"/>
      <c r="K560" s="192"/>
      <c r="L560" s="192"/>
      <c r="M560" s="175"/>
    </row>
    <row r="561" spans="2:13" x14ac:dyDescent="0.2">
      <c r="B561" s="192"/>
      <c r="C561" s="193"/>
      <c r="D561" s="192"/>
      <c r="E561" s="192"/>
      <c r="F561" s="192"/>
      <c r="G561" s="192"/>
      <c r="H561" s="170"/>
      <c r="I561" s="192"/>
      <c r="J561" s="193"/>
      <c r="K561" s="192"/>
      <c r="L561" s="192"/>
      <c r="M561" s="175"/>
    </row>
    <row r="562" spans="2:13" x14ac:dyDescent="0.2">
      <c r="B562" s="192"/>
      <c r="C562" s="193"/>
      <c r="D562" s="192"/>
      <c r="E562" s="192"/>
      <c r="F562" s="192"/>
      <c r="G562" s="192"/>
      <c r="H562" s="170"/>
      <c r="I562" s="192"/>
      <c r="J562" s="193"/>
      <c r="K562" s="192"/>
      <c r="L562" s="192"/>
      <c r="M562" s="175"/>
    </row>
    <row r="563" spans="2:13" x14ac:dyDescent="0.2">
      <c r="B563" s="192"/>
      <c r="C563" s="193"/>
      <c r="D563" s="192"/>
      <c r="E563" s="192"/>
      <c r="F563" s="192"/>
      <c r="G563" s="192"/>
      <c r="H563" s="170"/>
      <c r="I563" s="192"/>
      <c r="J563" s="193"/>
      <c r="K563" s="192"/>
      <c r="L563" s="192"/>
      <c r="M563" s="175"/>
    </row>
    <row r="564" spans="2:13" x14ac:dyDescent="0.2">
      <c r="B564" s="192"/>
      <c r="C564" s="193"/>
      <c r="D564" s="192"/>
      <c r="E564" s="192"/>
      <c r="F564" s="192"/>
      <c r="G564" s="192"/>
      <c r="H564" s="170"/>
      <c r="I564" s="192"/>
      <c r="J564" s="193"/>
      <c r="K564" s="192"/>
      <c r="L564" s="192"/>
      <c r="M564" s="175"/>
    </row>
    <row r="565" spans="2:13" x14ac:dyDescent="0.2">
      <c r="B565" s="192"/>
      <c r="C565" s="193"/>
      <c r="D565" s="192"/>
      <c r="E565" s="192"/>
      <c r="F565" s="192"/>
      <c r="G565" s="192"/>
      <c r="H565" s="170"/>
      <c r="I565" s="192"/>
      <c r="J565" s="193"/>
      <c r="K565" s="192"/>
      <c r="L565" s="192"/>
      <c r="M565" s="175"/>
    </row>
    <row r="566" spans="2:13" x14ac:dyDescent="0.2">
      <c r="B566" s="192"/>
      <c r="C566" s="193"/>
      <c r="D566" s="192"/>
      <c r="E566" s="192"/>
      <c r="F566" s="192"/>
      <c r="G566" s="192"/>
      <c r="H566" s="170"/>
      <c r="I566" s="192"/>
      <c r="J566" s="193"/>
      <c r="K566" s="192"/>
      <c r="L566" s="192"/>
      <c r="M566" s="175"/>
    </row>
    <row r="567" spans="2:13" x14ac:dyDescent="0.2">
      <c r="B567" s="192"/>
      <c r="C567" s="193"/>
      <c r="D567" s="192"/>
      <c r="E567" s="192"/>
      <c r="F567" s="192"/>
      <c r="G567" s="192"/>
      <c r="H567" s="170"/>
      <c r="I567" s="192"/>
      <c r="J567" s="193"/>
      <c r="K567" s="192"/>
      <c r="L567" s="192"/>
      <c r="M567" s="175"/>
    </row>
    <row r="568" spans="2:13" x14ac:dyDescent="0.2">
      <c r="B568" s="192"/>
      <c r="C568" s="193"/>
      <c r="D568" s="192"/>
      <c r="E568" s="192"/>
      <c r="F568" s="192"/>
      <c r="G568" s="192"/>
      <c r="H568" s="170"/>
      <c r="I568" s="192"/>
      <c r="J568" s="193"/>
      <c r="K568" s="192"/>
      <c r="L568" s="192"/>
      <c r="M568" s="175"/>
    </row>
    <row r="569" spans="2:13" x14ac:dyDescent="0.2">
      <c r="B569" s="192"/>
      <c r="C569" s="193"/>
      <c r="D569" s="192"/>
      <c r="E569" s="192"/>
      <c r="F569" s="192"/>
      <c r="G569" s="192"/>
      <c r="H569" s="170"/>
      <c r="I569" s="192"/>
      <c r="J569" s="193"/>
      <c r="K569" s="192"/>
      <c r="L569" s="192"/>
      <c r="M569" s="175"/>
    </row>
    <row r="570" spans="2:13" x14ac:dyDescent="0.2">
      <c r="B570" s="192"/>
      <c r="C570" s="193"/>
      <c r="D570" s="192"/>
      <c r="E570" s="192"/>
      <c r="F570" s="192"/>
      <c r="G570" s="192"/>
      <c r="H570" s="170"/>
      <c r="I570" s="192"/>
      <c r="J570" s="193"/>
      <c r="K570" s="192"/>
      <c r="L570" s="192"/>
      <c r="M570" s="175"/>
    </row>
    <row r="571" spans="2:13" x14ac:dyDescent="0.2">
      <c r="B571" s="192"/>
      <c r="C571" s="193"/>
      <c r="D571" s="192"/>
      <c r="E571" s="192"/>
      <c r="F571" s="192"/>
      <c r="G571" s="192"/>
      <c r="H571" s="170"/>
      <c r="I571" s="192"/>
      <c r="J571" s="193"/>
      <c r="K571" s="192"/>
      <c r="L571" s="192"/>
      <c r="M571" s="175"/>
    </row>
    <row r="572" spans="2:13" x14ac:dyDescent="0.2">
      <c r="B572" s="192"/>
      <c r="C572" s="193"/>
      <c r="D572" s="192"/>
      <c r="E572" s="192"/>
      <c r="F572" s="192"/>
      <c r="G572" s="192"/>
      <c r="H572" s="170"/>
      <c r="I572" s="192"/>
      <c r="J572" s="193"/>
      <c r="K572" s="192"/>
      <c r="L572" s="192"/>
      <c r="M572" s="175"/>
    </row>
    <row r="573" spans="2:13" x14ac:dyDescent="0.2">
      <c r="B573" s="192"/>
      <c r="C573" s="193"/>
      <c r="D573" s="192"/>
      <c r="E573" s="192"/>
      <c r="F573" s="192"/>
      <c r="G573" s="192"/>
      <c r="H573" s="170"/>
      <c r="I573" s="192"/>
      <c r="J573" s="193"/>
      <c r="K573" s="192"/>
      <c r="L573" s="192"/>
      <c r="M573" s="175"/>
    </row>
    <row r="574" spans="2:13" x14ac:dyDescent="0.2">
      <c r="B574" s="192"/>
      <c r="C574" s="193"/>
      <c r="D574" s="192"/>
      <c r="E574" s="192"/>
      <c r="F574" s="192"/>
      <c r="G574" s="192"/>
      <c r="H574" s="170"/>
      <c r="I574" s="192"/>
      <c r="J574" s="193"/>
      <c r="K574" s="192"/>
      <c r="L574" s="192"/>
      <c r="M574" s="175"/>
    </row>
    <row r="575" spans="2:13" x14ac:dyDescent="0.2">
      <c r="B575" s="192"/>
      <c r="C575" s="193"/>
      <c r="D575" s="192"/>
      <c r="E575" s="192"/>
      <c r="F575" s="192"/>
      <c r="G575" s="192"/>
      <c r="H575" s="170"/>
      <c r="I575" s="192"/>
      <c r="J575" s="193"/>
      <c r="K575" s="192"/>
      <c r="L575" s="192"/>
      <c r="M575" s="175"/>
    </row>
    <row r="576" spans="2:13" x14ac:dyDescent="0.2">
      <c r="B576" s="192"/>
      <c r="C576" s="193"/>
      <c r="D576" s="192"/>
      <c r="E576" s="192"/>
      <c r="F576" s="192"/>
      <c r="G576" s="192"/>
      <c r="H576" s="170"/>
      <c r="I576" s="192"/>
      <c r="J576" s="193"/>
      <c r="K576" s="192"/>
      <c r="L576" s="192"/>
      <c r="M576" s="175"/>
    </row>
    <row r="577" spans="2:13" x14ac:dyDescent="0.2">
      <c r="B577" s="192"/>
      <c r="C577" s="193"/>
      <c r="D577" s="192"/>
      <c r="E577" s="192"/>
      <c r="F577" s="192"/>
      <c r="G577" s="192"/>
      <c r="H577" s="170"/>
      <c r="I577" s="192"/>
      <c r="J577" s="193"/>
      <c r="K577" s="192"/>
      <c r="L577" s="192"/>
      <c r="M577" s="175"/>
    </row>
    <row r="578" spans="2:13" x14ac:dyDescent="0.2">
      <c r="B578" s="192"/>
      <c r="C578" s="193"/>
      <c r="D578" s="192"/>
      <c r="E578" s="192"/>
      <c r="F578" s="192"/>
      <c r="G578" s="192"/>
      <c r="H578" s="170"/>
      <c r="I578" s="192"/>
      <c r="J578" s="193"/>
      <c r="K578" s="192"/>
      <c r="L578" s="192"/>
      <c r="M578" s="175"/>
    </row>
    <row r="579" spans="2:13" x14ac:dyDescent="0.2">
      <c r="B579" s="192"/>
      <c r="C579" s="193"/>
      <c r="D579" s="192"/>
      <c r="E579" s="192"/>
      <c r="F579" s="192"/>
      <c r="G579" s="192"/>
      <c r="H579" s="170"/>
      <c r="I579" s="192"/>
      <c r="J579" s="193"/>
      <c r="K579" s="192"/>
      <c r="L579" s="192"/>
      <c r="M579" s="175"/>
    </row>
    <row r="580" spans="2:13" x14ac:dyDescent="0.2">
      <c r="B580" s="192"/>
      <c r="C580" s="193"/>
      <c r="D580" s="192"/>
      <c r="E580" s="192"/>
      <c r="F580" s="192"/>
      <c r="G580" s="192"/>
      <c r="H580" s="170"/>
      <c r="I580" s="192"/>
      <c r="J580" s="193"/>
      <c r="K580" s="192"/>
      <c r="L580" s="192"/>
      <c r="M580" s="175"/>
    </row>
    <row r="581" spans="2:13" x14ac:dyDescent="0.2">
      <c r="B581" s="192"/>
      <c r="C581" s="193"/>
      <c r="D581" s="192"/>
      <c r="E581" s="192"/>
      <c r="F581" s="192"/>
      <c r="G581" s="192"/>
      <c r="H581" s="170"/>
      <c r="I581" s="192"/>
      <c r="J581" s="193"/>
      <c r="K581" s="192"/>
      <c r="L581" s="192"/>
      <c r="M581" s="175"/>
    </row>
    <row r="582" spans="2:13" x14ac:dyDescent="0.2">
      <c r="B582" s="192"/>
      <c r="C582" s="193"/>
      <c r="D582" s="192"/>
      <c r="E582" s="192"/>
      <c r="F582" s="192"/>
      <c r="G582" s="192"/>
      <c r="H582" s="170"/>
      <c r="I582" s="192"/>
      <c r="J582" s="193"/>
      <c r="K582" s="192"/>
      <c r="L582" s="192"/>
      <c r="M582" s="175"/>
    </row>
    <row r="583" spans="2:13" x14ac:dyDescent="0.2">
      <c r="B583" s="192"/>
      <c r="C583" s="193"/>
      <c r="D583" s="192"/>
      <c r="E583" s="192"/>
      <c r="F583" s="192"/>
      <c r="G583" s="192"/>
      <c r="H583" s="170"/>
      <c r="I583" s="192"/>
      <c r="J583" s="193"/>
      <c r="K583" s="192"/>
      <c r="L583" s="192"/>
      <c r="M583" s="175"/>
    </row>
    <row r="584" spans="2:13" x14ac:dyDescent="0.2">
      <c r="B584" s="192"/>
      <c r="C584" s="193"/>
      <c r="D584" s="192"/>
      <c r="E584" s="192"/>
      <c r="F584" s="192"/>
      <c r="G584" s="192"/>
      <c r="H584" s="170"/>
      <c r="I584" s="192"/>
      <c r="J584" s="193"/>
      <c r="K584" s="192"/>
      <c r="L584" s="192"/>
      <c r="M584" s="175"/>
    </row>
    <row r="585" spans="2:13" x14ac:dyDescent="0.2">
      <c r="B585" s="192"/>
      <c r="C585" s="193"/>
      <c r="D585" s="192"/>
      <c r="E585" s="192"/>
      <c r="F585" s="192"/>
      <c r="G585" s="192"/>
      <c r="H585" s="170"/>
      <c r="I585" s="192"/>
      <c r="J585" s="193"/>
      <c r="K585" s="192"/>
      <c r="L585" s="192"/>
      <c r="M585" s="175"/>
    </row>
    <row r="586" spans="2:13" x14ac:dyDescent="0.2">
      <c r="B586" s="192"/>
      <c r="C586" s="193"/>
      <c r="D586" s="192"/>
      <c r="E586" s="192"/>
      <c r="F586" s="192"/>
      <c r="G586" s="192"/>
      <c r="H586" s="170"/>
      <c r="I586" s="192"/>
      <c r="J586" s="193"/>
      <c r="K586" s="192"/>
      <c r="L586" s="192"/>
      <c r="M586" s="175"/>
    </row>
    <row r="587" spans="2:13" x14ac:dyDescent="0.2">
      <c r="B587" s="192"/>
      <c r="C587" s="193"/>
      <c r="D587" s="192"/>
      <c r="E587" s="192"/>
      <c r="F587" s="192"/>
      <c r="G587" s="192"/>
      <c r="H587" s="170"/>
      <c r="I587" s="192"/>
      <c r="J587" s="193"/>
      <c r="K587" s="192"/>
      <c r="L587" s="192"/>
      <c r="M587" s="175"/>
    </row>
    <row r="588" spans="2:13" x14ac:dyDescent="0.2">
      <c r="B588" s="192"/>
      <c r="C588" s="193"/>
      <c r="D588" s="192"/>
      <c r="E588" s="192"/>
      <c r="F588" s="192"/>
      <c r="G588" s="192"/>
      <c r="H588" s="170"/>
      <c r="I588" s="192"/>
      <c r="J588" s="193"/>
      <c r="K588" s="192"/>
      <c r="L588" s="192"/>
      <c r="M588" s="175"/>
    </row>
    <row r="589" spans="2:13" x14ac:dyDescent="0.2">
      <c r="B589" s="192"/>
      <c r="C589" s="193"/>
      <c r="D589" s="192"/>
      <c r="E589" s="192"/>
      <c r="F589" s="192"/>
      <c r="G589" s="192"/>
      <c r="H589" s="170"/>
      <c r="I589" s="192"/>
      <c r="J589" s="193"/>
      <c r="K589" s="192"/>
      <c r="L589" s="192"/>
      <c r="M589" s="175"/>
    </row>
    <row r="590" spans="2:13" x14ac:dyDescent="0.2">
      <c r="B590" s="192"/>
      <c r="C590" s="193"/>
      <c r="D590" s="192"/>
      <c r="E590" s="192"/>
      <c r="F590" s="192"/>
      <c r="G590" s="192"/>
      <c r="H590" s="170"/>
      <c r="I590" s="192"/>
      <c r="J590" s="193"/>
      <c r="K590" s="192"/>
      <c r="L590" s="192"/>
      <c r="M590" s="175"/>
    </row>
    <row r="591" spans="2:13" x14ac:dyDescent="0.2">
      <c r="B591" s="192"/>
      <c r="C591" s="193"/>
      <c r="D591" s="192"/>
      <c r="E591" s="192"/>
      <c r="F591" s="192"/>
      <c r="G591" s="192"/>
      <c r="H591" s="170"/>
      <c r="I591" s="192"/>
      <c r="J591" s="193"/>
      <c r="K591" s="192"/>
      <c r="L591" s="192"/>
      <c r="M591" s="175"/>
    </row>
    <row r="592" spans="2:13" x14ac:dyDescent="0.2">
      <c r="B592" s="192"/>
      <c r="C592" s="193"/>
      <c r="D592" s="192"/>
      <c r="E592" s="192"/>
      <c r="F592" s="192"/>
      <c r="G592" s="192"/>
      <c r="H592" s="170"/>
      <c r="I592" s="192"/>
      <c r="J592" s="193"/>
      <c r="K592" s="192"/>
      <c r="L592" s="192"/>
      <c r="M592" s="175"/>
    </row>
    <row r="593" spans="2:13" x14ac:dyDescent="0.2">
      <c r="B593" s="192"/>
      <c r="C593" s="193"/>
      <c r="D593" s="192"/>
      <c r="E593" s="192"/>
      <c r="F593" s="192"/>
      <c r="G593" s="192"/>
      <c r="H593" s="170"/>
      <c r="I593" s="192"/>
      <c r="J593" s="193"/>
      <c r="K593" s="192"/>
      <c r="L593" s="192"/>
      <c r="M593" s="175"/>
    </row>
    <row r="594" spans="2:13" x14ac:dyDescent="0.2">
      <c r="B594" s="192"/>
      <c r="C594" s="193"/>
      <c r="D594" s="192"/>
      <c r="E594" s="192"/>
      <c r="F594" s="192"/>
      <c r="G594" s="192"/>
      <c r="H594" s="170"/>
      <c r="I594" s="192"/>
      <c r="J594" s="193"/>
      <c r="K594" s="192"/>
      <c r="L594" s="192"/>
      <c r="M594" s="175"/>
    </row>
    <row r="595" spans="2:13" x14ac:dyDescent="0.2">
      <c r="B595" s="192"/>
      <c r="C595" s="193"/>
      <c r="D595" s="192"/>
      <c r="E595" s="192"/>
      <c r="F595" s="192"/>
      <c r="G595" s="192"/>
      <c r="H595" s="170"/>
      <c r="I595" s="192"/>
      <c r="J595" s="193"/>
      <c r="K595" s="192"/>
      <c r="L595" s="192"/>
      <c r="M595" s="175"/>
    </row>
    <row r="596" spans="2:13" x14ac:dyDescent="0.2">
      <c r="B596" s="192"/>
      <c r="C596" s="193"/>
      <c r="D596" s="192"/>
      <c r="E596" s="192"/>
      <c r="F596" s="192"/>
      <c r="G596" s="192"/>
      <c r="H596" s="170"/>
      <c r="I596" s="192"/>
      <c r="J596" s="193"/>
      <c r="K596" s="192"/>
      <c r="L596" s="192"/>
      <c r="M596" s="175"/>
    </row>
    <row r="597" spans="2:13" x14ac:dyDescent="0.2">
      <c r="B597" s="192"/>
      <c r="C597" s="193"/>
      <c r="D597" s="192"/>
      <c r="E597" s="192"/>
      <c r="F597" s="192"/>
      <c r="G597" s="192"/>
      <c r="H597" s="170"/>
      <c r="I597" s="192"/>
      <c r="J597" s="193"/>
      <c r="K597" s="192"/>
      <c r="L597" s="192"/>
      <c r="M597" s="175"/>
    </row>
    <row r="598" spans="2:13" x14ac:dyDescent="0.2">
      <c r="B598" s="192"/>
      <c r="C598" s="193"/>
      <c r="D598" s="192"/>
      <c r="E598" s="192"/>
      <c r="F598" s="192"/>
      <c r="G598" s="192"/>
      <c r="H598" s="170"/>
      <c r="I598" s="192"/>
      <c r="J598" s="193"/>
      <c r="K598" s="192"/>
      <c r="L598" s="192"/>
      <c r="M598" s="175"/>
    </row>
    <row r="599" spans="2:13" x14ac:dyDescent="0.2">
      <c r="B599" s="192"/>
      <c r="C599" s="193"/>
      <c r="D599" s="192"/>
      <c r="E599" s="192"/>
      <c r="F599" s="192"/>
      <c r="G599" s="192"/>
      <c r="H599" s="170"/>
      <c r="I599" s="192"/>
      <c r="J599" s="193"/>
      <c r="K599" s="192"/>
      <c r="L599" s="192"/>
      <c r="M599" s="175"/>
    </row>
    <row r="600" spans="2:13" x14ac:dyDescent="0.2">
      <c r="B600" s="192"/>
      <c r="C600" s="193"/>
      <c r="D600" s="192"/>
      <c r="E600" s="192"/>
      <c r="F600" s="192"/>
      <c r="G600" s="192"/>
      <c r="H600" s="170"/>
      <c r="I600" s="192"/>
      <c r="J600" s="193"/>
      <c r="K600" s="192"/>
      <c r="L600" s="192"/>
      <c r="M600" s="175"/>
    </row>
    <row r="601" spans="2:13" x14ac:dyDescent="0.2">
      <c r="B601" s="192"/>
      <c r="C601" s="193"/>
      <c r="D601" s="192"/>
      <c r="E601" s="192"/>
      <c r="F601" s="192"/>
      <c r="G601" s="192"/>
      <c r="H601" s="170"/>
      <c r="I601" s="192"/>
      <c r="J601" s="193"/>
      <c r="K601" s="192"/>
      <c r="L601" s="192"/>
      <c r="M601" s="175"/>
    </row>
    <row r="602" spans="2:13" x14ac:dyDescent="0.2">
      <c r="B602" s="192"/>
      <c r="C602" s="193"/>
      <c r="D602" s="192"/>
      <c r="E602" s="192"/>
      <c r="F602" s="192"/>
      <c r="G602" s="192"/>
      <c r="H602" s="170"/>
      <c r="I602" s="192"/>
      <c r="J602" s="193"/>
      <c r="K602" s="192"/>
      <c r="L602" s="192"/>
      <c r="M602" s="175"/>
    </row>
    <row r="603" spans="2:13" x14ac:dyDescent="0.2">
      <c r="B603" s="192"/>
      <c r="C603" s="193"/>
      <c r="D603" s="192"/>
      <c r="E603" s="192"/>
      <c r="F603" s="192"/>
      <c r="G603" s="192"/>
      <c r="H603" s="170"/>
      <c r="I603" s="192"/>
      <c r="J603" s="193"/>
      <c r="K603" s="192"/>
      <c r="L603" s="192"/>
      <c r="M603" s="175"/>
    </row>
    <row r="604" spans="2:13" x14ac:dyDescent="0.2">
      <c r="B604" s="192"/>
      <c r="C604" s="193"/>
      <c r="D604" s="192"/>
      <c r="E604" s="192"/>
      <c r="F604" s="192"/>
      <c r="G604" s="192"/>
      <c r="H604" s="170"/>
      <c r="I604" s="192"/>
      <c r="J604" s="193"/>
      <c r="K604" s="192"/>
      <c r="L604" s="192"/>
      <c r="M604" s="175"/>
    </row>
    <row r="605" spans="2:13" x14ac:dyDescent="0.2">
      <c r="B605" s="192"/>
      <c r="C605" s="193"/>
      <c r="D605" s="192"/>
      <c r="E605" s="192"/>
      <c r="F605" s="192"/>
      <c r="G605" s="192"/>
      <c r="H605" s="170"/>
      <c r="I605" s="192"/>
      <c r="J605" s="193"/>
      <c r="K605" s="192"/>
      <c r="L605" s="192"/>
      <c r="M605" s="175"/>
    </row>
    <row r="606" spans="2:13" x14ac:dyDescent="0.2">
      <c r="B606" s="192"/>
      <c r="C606" s="193"/>
      <c r="D606" s="192"/>
      <c r="E606" s="192"/>
      <c r="F606" s="192"/>
      <c r="G606" s="192"/>
      <c r="H606" s="170"/>
      <c r="I606" s="192"/>
      <c r="J606" s="193"/>
      <c r="K606" s="192"/>
      <c r="L606" s="192"/>
      <c r="M606" s="175"/>
    </row>
    <row r="607" spans="2:13" x14ac:dyDescent="0.2">
      <c r="B607" s="192"/>
      <c r="C607" s="193"/>
      <c r="D607" s="192"/>
      <c r="E607" s="192"/>
      <c r="F607" s="192"/>
      <c r="G607" s="192"/>
      <c r="H607" s="170"/>
      <c r="I607" s="192"/>
      <c r="J607" s="193"/>
      <c r="K607" s="192"/>
      <c r="L607" s="192"/>
      <c r="M607" s="175"/>
    </row>
    <row r="608" spans="2:13" x14ac:dyDescent="0.2">
      <c r="B608" s="192"/>
      <c r="C608" s="193"/>
      <c r="D608" s="192"/>
      <c r="E608" s="192"/>
      <c r="F608" s="192"/>
      <c r="G608" s="192"/>
      <c r="H608" s="170"/>
      <c r="I608" s="192"/>
      <c r="J608" s="193"/>
      <c r="K608" s="192"/>
      <c r="L608" s="192"/>
      <c r="M608" s="175"/>
    </row>
    <row r="609" spans="2:13" x14ac:dyDescent="0.2">
      <c r="B609" s="192"/>
      <c r="C609" s="193"/>
      <c r="D609" s="192"/>
      <c r="E609" s="192"/>
      <c r="F609" s="192"/>
      <c r="G609" s="192"/>
      <c r="H609" s="170"/>
      <c r="I609" s="192"/>
      <c r="J609" s="193"/>
      <c r="K609" s="192"/>
      <c r="L609" s="192"/>
      <c r="M609" s="175"/>
    </row>
    <row r="610" spans="2:13" x14ac:dyDescent="0.2">
      <c r="B610" s="192"/>
      <c r="C610" s="193"/>
      <c r="D610" s="192"/>
      <c r="E610" s="192"/>
      <c r="F610" s="192"/>
      <c r="G610" s="192"/>
      <c r="H610" s="170"/>
      <c r="I610" s="192"/>
      <c r="J610" s="193"/>
      <c r="K610" s="192"/>
      <c r="L610" s="192"/>
      <c r="M610" s="175"/>
    </row>
    <row r="611" spans="2:13" x14ac:dyDescent="0.2">
      <c r="B611" s="192"/>
      <c r="C611" s="193"/>
      <c r="D611" s="192"/>
      <c r="E611" s="192"/>
      <c r="F611" s="192"/>
      <c r="G611" s="192"/>
      <c r="H611" s="170"/>
      <c r="I611" s="192"/>
      <c r="J611" s="193"/>
      <c r="K611" s="192"/>
      <c r="L611" s="192"/>
      <c r="M611" s="175"/>
    </row>
    <row r="612" spans="2:13" x14ac:dyDescent="0.2">
      <c r="B612" s="192"/>
      <c r="C612" s="193"/>
      <c r="D612" s="192"/>
      <c r="E612" s="192"/>
      <c r="F612" s="192"/>
      <c r="G612" s="192"/>
      <c r="H612" s="170"/>
      <c r="I612" s="192"/>
      <c r="J612" s="193"/>
      <c r="K612" s="192"/>
      <c r="L612" s="192"/>
      <c r="M612" s="175"/>
    </row>
    <row r="613" spans="2:13" x14ac:dyDescent="0.2">
      <c r="B613" s="192"/>
      <c r="C613" s="193"/>
      <c r="D613" s="192"/>
      <c r="E613" s="192"/>
      <c r="F613" s="192"/>
      <c r="G613" s="192"/>
      <c r="H613" s="170"/>
      <c r="I613" s="192"/>
      <c r="J613" s="193"/>
      <c r="K613" s="192"/>
      <c r="L613" s="192"/>
      <c r="M613" s="175"/>
    </row>
    <row r="614" spans="2:13" x14ac:dyDescent="0.2">
      <c r="B614" s="192"/>
      <c r="C614" s="193"/>
      <c r="D614" s="192"/>
      <c r="E614" s="192"/>
      <c r="F614" s="192"/>
      <c r="G614" s="192"/>
      <c r="H614" s="170"/>
      <c r="I614" s="192"/>
      <c r="J614" s="193"/>
      <c r="K614" s="192"/>
      <c r="L614" s="192"/>
      <c r="M614" s="175"/>
    </row>
    <row r="615" spans="2:13" x14ac:dyDescent="0.2">
      <c r="B615" s="192"/>
      <c r="C615" s="193"/>
      <c r="D615" s="192"/>
      <c r="E615" s="192"/>
      <c r="F615" s="192"/>
      <c r="G615" s="192"/>
      <c r="H615" s="170"/>
      <c r="I615" s="192"/>
      <c r="J615" s="193"/>
      <c r="K615" s="192"/>
      <c r="L615" s="192"/>
      <c r="M615" s="175"/>
    </row>
    <row r="616" spans="2:13" x14ac:dyDescent="0.2">
      <c r="B616" s="192"/>
      <c r="C616" s="193"/>
      <c r="D616" s="192"/>
      <c r="E616" s="192"/>
      <c r="F616" s="192"/>
      <c r="G616" s="192"/>
      <c r="H616" s="170"/>
      <c r="I616" s="192"/>
      <c r="J616" s="193"/>
      <c r="K616" s="192"/>
      <c r="L616" s="192"/>
      <c r="M616" s="175"/>
    </row>
    <row r="617" spans="2:13" x14ac:dyDescent="0.2">
      <c r="B617" s="192"/>
      <c r="C617" s="193"/>
      <c r="D617" s="192"/>
      <c r="E617" s="192"/>
      <c r="F617" s="192"/>
      <c r="G617" s="192"/>
      <c r="H617" s="170"/>
      <c r="I617" s="192"/>
      <c r="J617" s="193"/>
      <c r="K617" s="192"/>
      <c r="L617" s="192"/>
      <c r="M617" s="175"/>
    </row>
    <row r="618" spans="2:13" x14ac:dyDescent="0.2">
      <c r="B618" s="192"/>
      <c r="C618" s="193"/>
      <c r="D618" s="192"/>
      <c r="E618" s="192"/>
      <c r="F618" s="192"/>
      <c r="G618" s="192"/>
      <c r="H618" s="170"/>
      <c r="I618" s="192"/>
      <c r="J618" s="193"/>
      <c r="K618" s="192"/>
      <c r="L618" s="192"/>
      <c r="M618" s="175"/>
    </row>
    <row r="619" spans="2:13" x14ac:dyDescent="0.2">
      <c r="B619" s="192"/>
      <c r="C619" s="193"/>
      <c r="D619" s="192"/>
      <c r="E619" s="192"/>
      <c r="F619" s="192"/>
      <c r="G619" s="192"/>
      <c r="H619" s="170"/>
      <c r="I619" s="192"/>
      <c r="J619" s="193"/>
      <c r="K619" s="192"/>
      <c r="L619" s="192"/>
      <c r="M619" s="175"/>
    </row>
    <row r="620" spans="2:13" x14ac:dyDescent="0.2">
      <c r="B620" s="192"/>
      <c r="C620" s="193"/>
      <c r="D620" s="192"/>
      <c r="E620" s="192"/>
      <c r="F620" s="192"/>
      <c r="G620" s="192"/>
      <c r="H620" s="170"/>
      <c r="I620" s="192"/>
      <c r="J620" s="193"/>
      <c r="K620" s="192"/>
      <c r="L620" s="192"/>
      <c r="M620" s="175"/>
    </row>
    <row r="621" spans="2:13" x14ac:dyDescent="0.2">
      <c r="B621" s="192"/>
      <c r="C621" s="193"/>
      <c r="D621" s="192"/>
      <c r="E621" s="192"/>
      <c r="F621" s="192"/>
      <c r="G621" s="192"/>
      <c r="H621" s="170"/>
      <c r="I621" s="192"/>
      <c r="J621" s="193"/>
      <c r="K621" s="192"/>
      <c r="L621" s="192"/>
      <c r="M621" s="175"/>
    </row>
    <row r="622" spans="2:13" x14ac:dyDescent="0.2">
      <c r="B622" s="192"/>
      <c r="C622" s="193"/>
      <c r="D622" s="192"/>
      <c r="E622" s="192"/>
      <c r="F622" s="192"/>
      <c r="G622" s="192"/>
      <c r="H622" s="170"/>
      <c r="I622" s="192"/>
      <c r="J622" s="193"/>
      <c r="K622" s="192"/>
      <c r="L622" s="192"/>
      <c r="M622" s="175"/>
    </row>
    <row r="623" spans="2:13" x14ac:dyDescent="0.2">
      <c r="B623" s="192"/>
      <c r="C623" s="193"/>
      <c r="D623" s="192"/>
      <c r="E623" s="192"/>
      <c r="F623" s="192"/>
      <c r="G623" s="192"/>
      <c r="H623" s="170"/>
      <c r="I623" s="192"/>
      <c r="J623" s="193"/>
      <c r="K623" s="192"/>
      <c r="L623" s="192"/>
      <c r="M623" s="175"/>
    </row>
    <row r="624" spans="2:13" x14ac:dyDescent="0.2">
      <c r="B624" s="192"/>
      <c r="C624" s="193"/>
      <c r="D624" s="192"/>
      <c r="E624" s="192"/>
      <c r="F624" s="192"/>
      <c r="G624" s="192"/>
      <c r="H624" s="170"/>
      <c r="I624" s="192"/>
      <c r="J624" s="193"/>
      <c r="K624" s="192"/>
      <c r="L624" s="192"/>
      <c r="M624" s="175"/>
    </row>
    <row r="625" spans="2:13" x14ac:dyDescent="0.2">
      <c r="B625" s="192"/>
      <c r="C625" s="193"/>
      <c r="D625" s="192"/>
      <c r="E625" s="192"/>
      <c r="F625" s="192"/>
      <c r="G625" s="192"/>
      <c r="H625" s="170"/>
      <c r="I625" s="192"/>
      <c r="J625" s="193"/>
      <c r="K625" s="192"/>
      <c r="L625" s="192"/>
      <c r="M625" s="175"/>
    </row>
    <row r="626" spans="2:13" x14ac:dyDescent="0.2">
      <c r="B626" s="192"/>
      <c r="C626" s="193"/>
      <c r="D626" s="192"/>
      <c r="E626" s="192"/>
      <c r="F626" s="192"/>
      <c r="G626" s="192"/>
      <c r="H626" s="170"/>
      <c r="I626" s="192"/>
      <c r="J626" s="193"/>
      <c r="K626" s="192"/>
      <c r="L626" s="192"/>
      <c r="M626" s="175"/>
    </row>
    <row r="627" spans="2:13" x14ac:dyDescent="0.2">
      <c r="B627" s="192"/>
      <c r="C627" s="193"/>
      <c r="D627" s="192"/>
      <c r="E627" s="192"/>
      <c r="F627" s="192"/>
      <c r="G627" s="192"/>
      <c r="H627" s="170"/>
      <c r="I627" s="192"/>
      <c r="J627" s="193"/>
      <c r="K627" s="192"/>
      <c r="L627" s="192"/>
      <c r="M627" s="175"/>
    </row>
    <row r="628" spans="2:13" x14ac:dyDescent="0.2">
      <c r="B628" s="192"/>
      <c r="C628" s="193"/>
      <c r="D628" s="192"/>
      <c r="E628" s="192"/>
      <c r="F628" s="192"/>
      <c r="G628" s="192"/>
      <c r="H628" s="170"/>
      <c r="I628" s="192"/>
      <c r="J628" s="193"/>
      <c r="K628" s="192"/>
      <c r="L628" s="192"/>
      <c r="M628" s="175"/>
    </row>
    <row r="629" spans="2:13" x14ac:dyDescent="0.2">
      <c r="B629" s="192"/>
      <c r="C629" s="193"/>
      <c r="D629" s="192"/>
      <c r="E629" s="192"/>
      <c r="F629" s="192"/>
      <c r="G629" s="192"/>
      <c r="H629" s="170"/>
      <c r="I629" s="192"/>
      <c r="J629" s="193"/>
      <c r="K629" s="192"/>
      <c r="L629" s="192"/>
      <c r="M629" s="175"/>
    </row>
    <row r="630" spans="2:13" x14ac:dyDescent="0.2">
      <c r="B630" s="192"/>
      <c r="C630" s="193"/>
      <c r="D630" s="192"/>
      <c r="E630" s="192"/>
      <c r="F630" s="192"/>
      <c r="G630" s="192"/>
      <c r="H630" s="170"/>
      <c r="I630" s="192"/>
      <c r="J630" s="193"/>
      <c r="K630" s="192"/>
      <c r="L630" s="192"/>
      <c r="M630" s="175"/>
    </row>
    <row r="631" spans="2:13" x14ac:dyDescent="0.2">
      <c r="B631" s="192"/>
      <c r="C631" s="193"/>
      <c r="D631" s="192"/>
      <c r="E631" s="192"/>
      <c r="F631" s="192"/>
      <c r="G631" s="192"/>
      <c r="H631" s="170"/>
      <c r="I631" s="192"/>
      <c r="J631" s="193"/>
      <c r="K631" s="192"/>
      <c r="L631" s="192"/>
      <c r="M631" s="175"/>
    </row>
    <row r="632" spans="2:13" x14ac:dyDescent="0.2">
      <c r="B632" s="192"/>
      <c r="C632" s="193"/>
      <c r="D632" s="192"/>
      <c r="E632" s="192"/>
      <c r="F632" s="192"/>
      <c r="G632" s="192"/>
      <c r="H632" s="170"/>
      <c r="I632" s="192"/>
      <c r="J632" s="193"/>
      <c r="K632" s="192"/>
      <c r="L632" s="192"/>
      <c r="M632" s="175"/>
    </row>
    <row r="633" spans="2:13" x14ac:dyDescent="0.2">
      <c r="B633" s="192"/>
      <c r="C633" s="193"/>
      <c r="D633" s="192"/>
      <c r="E633" s="192"/>
      <c r="F633" s="192"/>
      <c r="G633" s="192"/>
      <c r="H633" s="170"/>
      <c r="I633" s="192"/>
      <c r="J633" s="193"/>
      <c r="K633" s="192"/>
      <c r="L633" s="192"/>
      <c r="M633" s="175"/>
    </row>
    <row r="634" spans="2:13" x14ac:dyDescent="0.2">
      <c r="B634" s="192"/>
      <c r="C634" s="193"/>
      <c r="D634" s="192"/>
      <c r="E634" s="192"/>
      <c r="F634" s="192"/>
      <c r="G634" s="192"/>
      <c r="H634" s="170"/>
      <c r="I634" s="192"/>
      <c r="J634" s="193"/>
      <c r="K634" s="192"/>
      <c r="L634" s="192"/>
      <c r="M634" s="175"/>
    </row>
    <row r="635" spans="2:13" x14ac:dyDescent="0.2">
      <c r="B635" s="192"/>
      <c r="C635" s="193"/>
      <c r="D635" s="192"/>
      <c r="E635" s="192"/>
      <c r="F635" s="192"/>
      <c r="G635" s="192"/>
      <c r="H635" s="170"/>
      <c r="I635" s="192"/>
      <c r="J635" s="193"/>
      <c r="K635" s="192"/>
      <c r="L635" s="192"/>
      <c r="M635" s="175"/>
    </row>
    <row r="636" spans="2:13" x14ac:dyDescent="0.2">
      <c r="B636" s="192"/>
      <c r="C636" s="193"/>
      <c r="D636" s="192"/>
      <c r="E636" s="192"/>
      <c r="F636" s="192"/>
      <c r="G636" s="192"/>
      <c r="H636" s="170"/>
      <c r="I636" s="192"/>
      <c r="J636" s="193"/>
      <c r="K636" s="192"/>
      <c r="L636" s="192"/>
      <c r="M636" s="175"/>
    </row>
    <row r="637" spans="2:13" x14ac:dyDescent="0.2">
      <c r="B637" s="192"/>
      <c r="C637" s="193"/>
      <c r="D637" s="192"/>
      <c r="E637" s="192"/>
      <c r="F637" s="192"/>
      <c r="G637" s="192"/>
      <c r="H637" s="170"/>
      <c r="I637" s="192"/>
      <c r="J637" s="193"/>
      <c r="K637" s="192"/>
      <c r="L637" s="192"/>
      <c r="M637" s="175"/>
    </row>
    <row r="638" spans="2:13" x14ac:dyDescent="0.2">
      <c r="B638" s="192"/>
      <c r="C638" s="193"/>
      <c r="D638" s="192"/>
      <c r="E638" s="192"/>
      <c r="F638" s="192"/>
      <c r="G638" s="192"/>
      <c r="H638" s="170"/>
      <c r="I638" s="192"/>
      <c r="J638" s="193"/>
      <c r="K638" s="192"/>
      <c r="L638" s="192"/>
      <c r="M638" s="175"/>
    </row>
    <row r="639" spans="2:13" x14ac:dyDescent="0.2">
      <c r="B639" s="192"/>
      <c r="C639" s="193"/>
      <c r="D639" s="192"/>
      <c r="E639" s="192"/>
      <c r="F639" s="192"/>
      <c r="G639" s="192"/>
      <c r="H639" s="170"/>
      <c r="I639" s="192"/>
      <c r="J639" s="193"/>
      <c r="K639" s="192"/>
      <c r="L639" s="192"/>
      <c r="M639" s="175"/>
    </row>
    <row r="640" spans="2:13" x14ac:dyDescent="0.2">
      <c r="B640" s="192"/>
      <c r="C640" s="193"/>
      <c r="D640" s="192"/>
      <c r="E640" s="192"/>
      <c r="F640" s="192"/>
      <c r="G640" s="192"/>
      <c r="H640" s="170"/>
      <c r="I640" s="192"/>
      <c r="J640" s="193"/>
      <c r="K640" s="192"/>
      <c r="L640" s="192"/>
      <c r="M640" s="175"/>
    </row>
    <row r="641" spans="2:13" x14ac:dyDescent="0.2">
      <c r="B641" s="192"/>
      <c r="C641" s="193"/>
      <c r="D641" s="192"/>
      <c r="E641" s="192"/>
      <c r="F641" s="192"/>
      <c r="G641" s="192"/>
      <c r="H641" s="170"/>
      <c r="I641" s="192"/>
      <c r="J641" s="193"/>
      <c r="K641" s="192"/>
      <c r="L641" s="192"/>
      <c r="M641" s="175"/>
    </row>
    <row r="642" spans="2:13" x14ac:dyDescent="0.2">
      <c r="B642" s="192"/>
      <c r="C642" s="193"/>
      <c r="D642" s="192"/>
      <c r="E642" s="192"/>
      <c r="F642" s="192"/>
      <c r="G642" s="192"/>
      <c r="H642" s="170"/>
      <c r="I642" s="192"/>
      <c r="J642" s="193"/>
      <c r="K642" s="192"/>
      <c r="L642" s="192"/>
      <c r="M642" s="175"/>
    </row>
    <row r="643" spans="2:13" x14ac:dyDescent="0.2">
      <c r="B643" s="192"/>
      <c r="C643" s="193"/>
      <c r="D643" s="192"/>
      <c r="E643" s="192"/>
      <c r="F643" s="192"/>
      <c r="G643" s="192"/>
      <c r="H643" s="170"/>
      <c r="I643" s="192"/>
      <c r="J643" s="193"/>
      <c r="K643" s="192"/>
      <c r="L643" s="192"/>
      <c r="M643" s="175"/>
    </row>
    <row r="644" spans="2:13" x14ac:dyDescent="0.2">
      <c r="B644" s="192"/>
      <c r="C644" s="193"/>
      <c r="D644" s="192"/>
      <c r="E644" s="192"/>
      <c r="F644" s="192"/>
      <c r="G644" s="192"/>
      <c r="H644" s="170"/>
      <c r="I644" s="192"/>
      <c r="J644" s="193"/>
      <c r="K644" s="192"/>
      <c r="L644" s="192"/>
      <c r="M644" s="175"/>
    </row>
    <row r="645" spans="2:13" x14ac:dyDescent="0.2">
      <c r="B645" s="192"/>
      <c r="C645" s="193"/>
      <c r="D645" s="192"/>
      <c r="E645" s="192"/>
      <c r="F645" s="192"/>
      <c r="G645" s="192"/>
      <c r="H645" s="170"/>
      <c r="I645" s="192"/>
      <c r="J645" s="193"/>
      <c r="K645" s="192"/>
      <c r="L645" s="192"/>
      <c r="M645" s="175"/>
    </row>
    <row r="646" spans="2:13" x14ac:dyDescent="0.2">
      <c r="B646" s="192"/>
      <c r="C646" s="193"/>
      <c r="D646" s="192"/>
      <c r="E646" s="192"/>
      <c r="F646" s="192"/>
      <c r="G646" s="192"/>
      <c r="H646" s="170"/>
      <c r="I646" s="192"/>
      <c r="J646" s="193"/>
      <c r="K646" s="192"/>
      <c r="L646" s="192"/>
      <c r="M646" s="175"/>
    </row>
    <row r="647" spans="2:13" x14ac:dyDescent="0.2">
      <c r="B647" s="192"/>
      <c r="C647" s="193"/>
      <c r="D647" s="192"/>
      <c r="E647" s="192"/>
      <c r="F647" s="192"/>
      <c r="G647" s="192"/>
      <c r="H647" s="170"/>
      <c r="I647" s="192"/>
      <c r="J647" s="193"/>
      <c r="K647" s="192"/>
      <c r="L647" s="192"/>
      <c r="M647" s="175"/>
    </row>
    <row r="648" spans="2:13" x14ac:dyDescent="0.2">
      <c r="B648" s="192"/>
      <c r="C648" s="193"/>
      <c r="D648" s="192"/>
      <c r="E648" s="192"/>
      <c r="F648" s="192"/>
      <c r="G648" s="192"/>
      <c r="H648" s="170"/>
      <c r="I648" s="192"/>
      <c r="J648" s="193"/>
      <c r="K648" s="192"/>
      <c r="L648" s="192"/>
      <c r="M648" s="175"/>
    </row>
    <row r="649" spans="2:13" x14ac:dyDescent="0.2">
      <c r="B649" s="192"/>
      <c r="C649" s="193"/>
      <c r="D649" s="192"/>
      <c r="E649" s="192"/>
      <c r="F649" s="192"/>
      <c r="G649" s="192"/>
      <c r="H649" s="170"/>
      <c r="I649" s="192"/>
      <c r="J649" s="193"/>
      <c r="K649" s="192"/>
      <c r="L649" s="192"/>
      <c r="M649" s="175"/>
    </row>
    <row r="650" spans="2:13" x14ac:dyDescent="0.2">
      <c r="B650" s="192"/>
      <c r="C650" s="193"/>
      <c r="D650" s="192"/>
      <c r="E650" s="192"/>
      <c r="F650" s="192"/>
      <c r="G650" s="192"/>
      <c r="H650" s="170"/>
      <c r="I650" s="192"/>
      <c r="J650" s="193"/>
      <c r="K650" s="192"/>
      <c r="L650" s="192"/>
      <c r="M650" s="175"/>
    </row>
    <row r="651" spans="2:13" x14ac:dyDescent="0.2">
      <c r="B651" s="192"/>
      <c r="C651" s="193"/>
      <c r="D651" s="192"/>
      <c r="E651" s="192"/>
      <c r="F651" s="192"/>
      <c r="G651" s="192"/>
      <c r="H651" s="170"/>
      <c r="I651" s="192"/>
      <c r="J651" s="193"/>
      <c r="K651" s="192"/>
      <c r="L651" s="192"/>
      <c r="M651" s="175"/>
    </row>
    <row r="652" spans="2:13" x14ac:dyDescent="0.2">
      <c r="B652" s="192"/>
      <c r="C652" s="193"/>
      <c r="D652" s="192"/>
      <c r="E652" s="192"/>
      <c r="F652" s="192"/>
      <c r="G652" s="192"/>
      <c r="H652" s="170"/>
      <c r="I652" s="192"/>
      <c r="J652" s="193"/>
      <c r="K652" s="192"/>
      <c r="L652" s="192"/>
      <c r="M652" s="175"/>
    </row>
    <row r="653" spans="2:13" x14ac:dyDescent="0.2">
      <c r="B653" s="192"/>
      <c r="C653" s="193"/>
      <c r="D653" s="192"/>
      <c r="E653" s="192"/>
      <c r="F653" s="192"/>
      <c r="G653" s="192"/>
      <c r="H653" s="170"/>
      <c r="I653" s="192"/>
      <c r="J653" s="193"/>
      <c r="K653" s="192"/>
      <c r="L653" s="192"/>
      <c r="M653" s="175"/>
    </row>
    <row r="654" spans="2:13" x14ac:dyDescent="0.2">
      <c r="B654" s="192"/>
      <c r="C654" s="193"/>
      <c r="D654" s="192"/>
      <c r="E654" s="192"/>
      <c r="F654" s="192"/>
      <c r="G654" s="192"/>
      <c r="H654" s="170"/>
      <c r="I654" s="192"/>
      <c r="J654" s="193"/>
      <c r="K654" s="192"/>
      <c r="L654" s="192"/>
      <c r="M654" s="175"/>
    </row>
    <row r="655" spans="2:13" x14ac:dyDescent="0.2">
      <c r="B655" s="192"/>
      <c r="C655" s="193"/>
      <c r="D655" s="192"/>
      <c r="E655" s="192"/>
      <c r="F655" s="192"/>
      <c r="G655" s="192"/>
      <c r="H655" s="170"/>
      <c r="I655" s="192"/>
      <c r="J655" s="193"/>
      <c r="K655" s="192"/>
      <c r="L655" s="192"/>
      <c r="M655" s="175"/>
    </row>
    <row r="656" spans="2:13" x14ac:dyDescent="0.2">
      <c r="B656" s="192"/>
      <c r="C656" s="193"/>
      <c r="D656" s="192"/>
      <c r="E656" s="192"/>
      <c r="F656" s="192"/>
      <c r="G656" s="192"/>
      <c r="H656" s="170"/>
      <c r="I656" s="192"/>
      <c r="J656" s="193"/>
      <c r="K656" s="192"/>
      <c r="L656" s="192"/>
      <c r="M656" s="175"/>
    </row>
    <row r="657" spans="2:13" x14ac:dyDescent="0.2">
      <c r="B657" s="192"/>
      <c r="C657" s="193"/>
      <c r="D657" s="192"/>
      <c r="E657" s="192"/>
      <c r="F657" s="192"/>
      <c r="G657" s="192"/>
      <c r="H657" s="170"/>
      <c r="I657" s="192"/>
      <c r="J657" s="193"/>
      <c r="K657" s="192"/>
      <c r="L657" s="192"/>
      <c r="M657" s="175"/>
    </row>
    <row r="658" spans="2:13" x14ac:dyDescent="0.2">
      <c r="B658" s="192"/>
      <c r="C658" s="193"/>
      <c r="D658" s="192"/>
      <c r="E658" s="192"/>
      <c r="F658" s="192"/>
      <c r="G658" s="192"/>
      <c r="H658" s="170"/>
      <c r="I658" s="192"/>
      <c r="J658" s="193"/>
      <c r="K658" s="192"/>
      <c r="L658" s="192"/>
      <c r="M658" s="175"/>
    </row>
    <row r="659" spans="2:13" x14ac:dyDescent="0.2">
      <c r="B659" s="192"/>
      <c r="C659" s="193"/>
      <c r="D659" s="192"/>
      <c r="E659" s="192"/>
      <c r="F659" s="192"/>
      <c r="G659" s="192"/>
      <c r="H659" s="170"/>
      <c r="I659" s="192"/>
      <c r="J659" s="193"/>
      <c r="K659" s="192"/>
      <c r="L659" s="192"/>
      <c r="M659" s="175"/>
    </row>
    <row r="660" spans="2:13" x14ac:dyDescent="0.2">
      <c r="B660" s="192"/>
      <c r="C660" s="193"/>
      <c r="D660" s="192"/>
      <c r="E660" s="192"/>
      <c r="F660" s="192"/>
      <c r="G660" s="192"/>
      <c r="H660" s="170"/>
      <c r="I660" s="192"/>
      <c r="J660" s="193"/>
      <c r="K660" s="192"/>
      <c r="L660" s="192"/>
      <c r="M660" s="175"/>
    </row>
    <row r="661" spans="2:13" x14ac:dyDescent="0.2">
      <c r="B661" s="192"/>
      <c r="C661" s="193"/>
      <c r="D661" s="192"/>
      <c r="E661" s="192"/>
      <c r="F661" s="192"/>
      <c r="G661" s="192"/>
      <c r="H661" s="170"/>
      <c r="I661" s="192"/>
      <c r="J661" s="193"/>
      <c r="K661" s="192"/>
      <c r="L661" s="192"/>
      <c r="M661" s="175"/>
    </row>
    <row r="662" spans="2:13" x14ac:dyDescent="0.2">
      <c r="B662" s="192"/>
      <c r="C662" s="193"/>
      <c r="D662" s="192"/>
      <c r="E662" s="192"/>
      <c r="F662" s="192"/>
      <c r="G662" s="192"/>
      <c r="H662" s="170"/>
      <c r="I662" s="192"/>
      <c r="J662" s="193"/>
      <c r="K662" s="192"/>
      <c r="L662" s="192"/>
      <c r="M662" s="175"/>
    </row>
    <row r="663" spans="2:13" x14ac:dyDescent="0.2">
      <c r="B663" s="192"/>
      <c r="C663" s="193"/>
      <c r="D663" s="192"/>
      <c r="E663" s="192"/>
      <c r="F663" s="192"/>
      <c r="G663" s="192"/>
      <c r="H663" s="170"/>
      <c r="I663" s="192"/>
      <c r="J663" s="193"/>
      <c r="K663" s="192"/>
      <c r="L663" s="192"/>
      <c r="M663" s="175"/>
    </row>
    <row r="664" spans="2:13" x14ac:dyDescent="0.2">
      <c r="B664" s="192"/>
      <c r="C664" s="193"/>
      <c r="D664" s="192"/>
      <c r="E664" s="192"/>
      <c r="F664" s="192"/>
      <c r="G664" s="192"/>
      <c r="H664" s="170"/>
      <c r="I664" s="192"/>
      <c r="J664" s="193"/>
      <c r="K664" s="192"/>
      <c r="L664" s="192"/>
      <c r="M664" s="175"/>
    </row>
    <row r="665" spans="2:13" x14ac:dyDescent="0.2">
      <c r="B665" s="192"/>
      <c r="C665" s="193"/>
      <c r="D665" s="192"/>
      <c r="E665" s="192"/>
      <c r="F665" s="192"/>
      <c r="G665" s="192"/>
      <c r="H665" s="170"/>
      <c r="I665" s="192"/>
      <c r="J665" s="193"/>
      <c r="K665" s="192"/>
      <c r="L665" s="192"/>
      <c r="M665" s="175"/>
    </row>
    <row r="666" spans="2:13" x14ac:dyDescent="0.2">
      <c r="B666" s="192"/>
      <c r="C666" s="193"/>
      <c r="D666" s="192"/>
      <c r="E666" s="192"/>
      <c r="F666" s="192"/>
      <c r="G666" s="192"/>
      <c r="H666" s="170"/>
      <c r="I666" s="192"/>
      <c r="J666" s="193"/>
      <c r="K666" s="192"/>
      <c r="L666" s="192"/>
      <c r="M666" s="175"/>
    </row>
    <row r="667" spans="2:13" x14ac:dyDescent="0.2">
      <c r="B667" s="192"/>
      <c r="C667" s="193"/>
      <c r="D667" s="192"/>
      <c r="E667" s="192"/>
      <c r="F667" s="192"/>
      <c r="G667" s="192"/>
      <c r="H667" s="170"/>
      <c r="I667" s="192"/>
      <c r="J667" s="193"/>
      <c r="K667" s="192"/>
      <c r="L667" s="192"/>
      <c r="M667" s="175"/>
    </row>
    <row r="668" spans="2:13" x14ac:dyDescent="0.2">
      <c r="B668" s="192"/>
      <c r="C668" s="193"/>
      <c r="D668" s="192"/>
      <c r="E668" s="192"/>
      <c r="F668" s="192"/>
      <c r="G668" s="192"/>
      <c r="H668" s="170"/>
      <c r="I668" s="192"/>
      <c r="J668" s="193"/>
      <c r="K668" s="192"/>
      <c r="L668" s="192"/>
      <c r="M668" s="175"/>
    </row>
    <row r="669" spans="2:13" x14ac:dyDescent="0.2">
      <c r="B669" s="192"/>
      <c r="C669" s="193"/>
      <c r="D669" s="192"/>
      <c r="E669" s="192"/>
      <c r="F669" s="192"/>
      <c r="G669" s="192"/>
      <c r="H669" s="170"/>
      <c r="I669" s="192"/>
      <c r="J669" s="193"/>
      <c r="K669" s="192"/>
      <c r="L669" s="192"/>
      <c r="M669" s="175"/>
    </row>
    <row r="670" spans="2:13" x14ac:dyDescent="0.2">
      <c r="B670" s="192"/>
      <c r="C670" s="193"/>
      <c r="D670" s="192"/>
      <c r="E670" s="192"/>
      <c r="F670" s="192"/>
      <c r="G670" s="192"/>
      <c r="H670" s="170"/>
      <c r="I670" s="192"/>
      <c r="J670" s="193"/>
      <c r="K670" s="192"/>
      <c r="L670" s="192"/>
      <c r="M670" s="175"/>
    </row>
    <row r="671" spans="2:13" x14ac:dyDescent="0.2">
      <c r="B671" s="192"/>
      <c r="C671" s="193"/>
      <c r="D671" s="192"/>
      <c r="E671" s="192"/>
      <c r="F671" s="192"/>
      <c r="G671" s="192"/>
      <c r="H671" s="170"/>
      <c r="I671" s="192"/>
      <c r="J671" s="193"/>
      <c r="K671" s="192"/>
      <c r="L671" s="192"/>
      <c r="M671" s="175"/>
    </row>
    <row r="672" spans="2:13" x14ac:dyDescent="0.2">
      <c r="B672" s="192"/>
      <c r="C672" s="193"/>
      <c r="D672" s="192"/>
      <c r="E672" s="192"/>
      <c r="F672" s="192"/>
      <c r="G672" s="192"/>
      <c r="H672" s="170"/>
      <c r="I672" s="192"/>
      <c r="J672" s="193"/>
      <c r="K672" s="192"/>
      <c r="L672" s="192"/>
      <c r="M672" s="175"/>
    </row>
    <row r="673" spans="2:13" x14ac:dyDescent="0.2">
      <c r="B673" s="192"/>
      <c r="C673" s="193"/>
      <c r="D673" s="192"/>
      <c r="E673" s="192"/>
      <c r="F673" s="192"/>
      <c r="G673" s="192"/>
      <c r="H673" s="170"/>
      <c r="I673" s="192"/>
      <c r="J673" s="193"/>
      <c r="K673" s="192"/>
      <c r="L673" s="192"/>
      <c r="M673" s="175"/>
    </row>
    <row r="674" spans="2:13" x14ac:dyDescent="0.2">
      <c r="B674" s="192"/>
      <c r="C674" s="193"/>
      <c r="D674" s="192"/>
      <c r="E674" s="192"/>
      <c r="F674" s="192"/>
      <c r="G674" s="192"/>
      <c r="H674" s="170"/>
      <c r="I674" s="192"/>
      <c r="J674" s="193"/>
      <c r="K674" s="192"/>
      <c r="L674" s="192"/>
      <c r="M674" s="175"/>
    </row>
    <row r="675" spans="2:13" x14ac:dyDescent="0.2">
      <c r="B675" s="192"/>
      <c r="C675" s="193"/>
      <c r="D675" s="192"/>
      <c r="E675" s="192"/>
      <c r="F675" s="192"/>
      <c r="G675" s="192"/>
      <c r="H675" s="170"/>
      <c r="I675" s="192"/>
      <c r="J675" s="193"/>
      <c r="K675" s="192"/>
      <c r="L675" s="192"/>
      <c r="M675" s="175"/>
    </row>
    <row r="676" spans="2:13" x14ac:dyDescent="0.2">
      <c r="B676" s="192"/>
      <c r="C676" s="193"/>
      <c r="D676" s="192"/>
      <c r="E676" s="192"/>
      <c r="F676" s="192"/>
      <c r="G676" s="192"/>
      <c r="H676" s="170"/>
      <c r="I676" s="192"/>
      <c r="J676" s="193"/>
      <c r="K676" s="192"/>
      <c r="L676" s="192"/>
      <c r="M676" s="175"/>
    </row>
    <row r="677" spans="2:13" x14ac:dyDescent="0.2">
      <c r="B677" s="192"/>
      <c r="C677" s="193"/>
      <c r="D677" s="192"/>
      <c r="E677" s="192"/>
      <c r="F677" s="192"/>
      <c r="G677" s="192"/>
      <c r="H677" s="170"/>
      <c r="I677" s="192"/>
      <c r="J677" s="193"/>
      <c r="K677" s="192"/>
      <c r="L677" s="192"/>
      <c r="M677" s="175"/>
    </row>
    <row r="678" spans="2:13" x14ac:dyDescent="0.2">
      <c r="B678" s="192"/>
      <c r="C678" s="193"/>
      <c r="D678" s="192"/>
      <c r="E678" s="192"/>
      <c r="F678" s="192"/>
      <c r="G678" s="192"/>
      <c r="H678" s="170"/>
      <c r="I678" s="192"/>
      <c r="J678" s="193"/>
      <c r="K678" s="192"/>
      <c r="L678" s="192"/>
      <c r="M678" s="175"/>
    </row>
    <row r="679" spans="2:13" x14ac:dyDescent="0.2">
      <c r="B679" s="192"/>
      <c r="C679" s="193"/>
      <c r="D679" s="192"/>
      <c r="E679" s="192"/>
      <c r="F679" s="192"/>
      <c r="G679" s="192"/>
      <c r="H679" s="170"/>
      <c r="I679" s="192"/>
      <c r="J679" s="193"/>
      <c r="K679" s="192"/>
      <c r="L679" s="192"/>
      <c r="M679" s="175"/>
    </row>
    <row r="680" spans="2:13" x14ac:dyDescent="0.2">
      <c r="B680" s="192"/>
      <c r="C680" s="193"/>
      <c r="D680" s="192"/>
      <c r="E680" s="192"/>
      <c r="F680" s="192"/>
      <c r="G680" s="192"/>
      <c r="H680" s="170"/>
      <c r="I680" s="192"/>
      <c r="J680" s="193"/>
      <c r="K680" s="192"/>
      <c r="L680" s="192"/>
      <c r="M680" s="175"/>
    </row>
    <row r="681" spans="2:13" x14ac:dyDescent="0.2">
      <c r="B681" s="192"/>
      <c r="C681" s="193"/>
      <c r="D681" s="192"/>
      <c r="E681" s="192"/>
      <c r="F681" s="192"/>
      <c r="G681" s="192"/>
      <c r="H681" s="170"/>
      <c r="I681" s="192"/>
      <c r="J681" s="193"/>
      <c r="K681" s="192"/>
      <c r="L681" s="192"/>
      <c r="M681" s="175"/>
    </row>
    <row r="682" spans="2:13" x14ac:dyDescent="0.2">
      <c r="B682" s="192"/>
      <c r="C682" s="193"/>
      <c r="D682" s="192"/>
      <c r="E682" s="192"/>
      <c r="F682" s="192"/>
      <c r="G682" s="192"/>
      <c r="H682" s="170"/>
      <c r="I682" s="192"/>
      <c r="J682" s="193"/>
      <c r="K682" s="192"/>
      <c r="L682" s="192"/>
      <c r="M682" s="175"/>
    </row>
    <row r="683" spans="2:13" x14ac:dyDescent="0.2">
      <c r="B683" s="192"/>
      <c r="C683" s="193"/>
      <c r="D683" s="192"/>
      <c r="E683" s="192"/>
      <c r="F683" s="192"/>
      <c r="G683" s="192"/>
      <c r="H683" s="170"/>
      <c r="I683" s="192"/>
      <c r="J683" s="193"/>
      <c r="K683" s="192"/>
      <c r="L683" s="192"/>
      <c r="M683" s="175"/>
    </row>
    <row r="684" spans="2:13" x14ac:dyDescent="0.2">
      <c r="B684" s="192"/>
      <c r="C684" s="193"/>
      <c r="D684" s="192"/>
      <c r="E684" s="192"/>
      <c r="F684" s="192"/>
      <c r="G684" s="192"/>
      <c r="H684" s="170"/>
      <c r="I684" s="192"/>
      <c r="J684" s="193"/>
      <c r="K684" s="192"/>
      <c r="L684" s="192"/>
      <c r="M684" s="175"/>
    </row>
    <row r="685" spans="2:13" x14ac:dyDescent="0.2">
      <c r="B685" s="192"/>
      <c r="C685" s="193"/>
      <c r="D685" s="192"/>
      <c r="E685" s="192"/>
      <c r="F685" s="192"/>
      <c r="G685" s="192"/>
      <c r="H685" s="170"/>
      <c r="I685" s="192"/>
      <c r="J685" s="193"/>
      <c r="K685" s="192"/>
      <c r="L685" s="192"/>
      <c r="M685" s="175"/>
    </row>
    <row r="686" spans="2:13" x14ac:dyDescent="0.2">
      <c r="B686" s="192"/>
      <c r="C686" s="193"/>
      <c r="D686" s="192"/>
      <c r="E686" s="192"/>
      <c r="F686" s="192"/>
      <c r="G686" s="192"/>
      <c r="H686" s="170"/>
      <c r="I686" s="192"/>
      <c r="J686" s="193"/>
      <c r="K686" s="192"/>
      <c r="L686" s="192"/>
      <c r="M686" s="175"/>
    </row>
    <row r="687" spans="2:13" x14ac:dyDescent="0.2">
      <c r="B687" s="192"/>
      <c r="C687" s="193"/>
      <c r="D687" s="192"/>
      <c r="E687" s="192"/>
      <c r="F687" s="192"/>
      <c r="G687" s="192"/>
      <c r="H687" s="170"/>
      <c r="I687" s="192"/>
      <c r="J687" s="193"/>
      <c r="K687" s="192"/>
      <c r="L687" s="192"/>
      <c r="M687" s="175"/>
    </row>
    <row r="688" spans="2:13" x14ac:dyDescent="0.2">
      <c r="B688" s="192"/>
      <c r="C688" s="193"/>
      <c r="D688" s="192"/>
      <c r="E688" s="192"/>
      <c r="F688" s="192"/>
      <c r="G688" s="192"/>
      <c r="H688" s="170"/>
      <c r="I688" s="192"/>
      <c r="J688" s="193"/>
      <c r="K688" s="192"/>
      <c r="L688" s="192"/>
      <c r="M688" s="175"/>
    </row>
    <row r="689" spans="2:13" x14ac:dyDescent="0.2">
      <c r="B689" s="192"/>
      <c r="C689" s="193"/>
      <c r="D689" s="192"/>
      <c r="E689" s="192"/>
      <c r="F689" s="192"/>
      <c r="G689" s="192"/>
      <c r="H689" s="170"/>
      <c r="I689" s="192"/>
      <c r="J689" s="193"/>
      <c r="K689" s="192"/>
      <c r="L689" s="192"/>
      <c r="M689" s="175"/>
    </row>
    <row r="690" spans="2:13" x14ac:dyDescent="0.2">
      <c r="B690" s="192"/>
      <c r="C690" s="193"/>
      <c r="D690" s="192"/>
      <c r="E690" s="192"/>
      <c r="F690" s="192"/>
      <c r="G690" s="192"/>
      <c r="H690" s="170"/>
      <c r="I690" s="192"/>
      <c r="J690" s="193"/>
      <c r="K690" s="192"/>
      <c r="L690" s="192"/>
      <c r="M690" s="175"/>
    </row>
    <row r="691" spans="2:13" x14ac:dyDescent="0.2">
      <c r="B691" s="192"/>
      <c r="C691" s="193"/>
      <c r="D691" s="192"/>
      <c r="E691" s="192"/>
      <c r="F691" s="192"/>
      <c r="G691" s="192"/>
      <c r="H691" s="170"/>
      <c r="I691" s="192"/>
      <c r="J691" s="193"/>
      <c r="K691" s="192"/>
      <c r="L691" s="192"/>
      <c r="M691" s="175"/>
    </row>
    <row r="692" spans="2:13" x14ac:dyDescent="0.2">
      <c r="B692" s="192"/>
      <c r="C692" s="193"/>
      <c r="D692" s="192"/>
      <c r="E692" s="192"/>
      <c r="F692" s="192"/>
      <c r="G692" s="192"/>
      <c r="H692" s="170"/>
      <c r="I692" s="192"/>
      <c r="J692" s="193"/>
      <c r="K692" s="192"/>
      <c r="L692" s="192"/>
      <c r="M692" s="175"/>
    </row>
    <row r="693" spans="2:13" x14ac:dyDescent="0.2">
      <c r="B693" s="192"/>
      <c r="C693" s="193"/>
      <c r="D693" s="192"/>
      <c r="E693" s="192"/>
      <c r="F693" s="192"/>
      <c r="G693" s="192"/>
      <c r="H693" s="170"/>
      <c r="I693" s="192"/>
      <c r="J693" s="193"/>
      <c r="K693" s="192"/>
      <c r="L693" s="192"/>
      <c r="M693" s="175"/>
    </row>
    <row r="694" spans="2:13" x14ac:dyDescent="0.2">
      <c r="B694" s="192"/>
      <c r="C694" s="193"/>
      <c r="D694" s="192"/>
      <c r="E694" s="192"/>
      <c r="F694" s="192"/>
      <c r="G694" s="192"/>
      <c r="H694" s="170"/>
      <c r="I694" s="192"/>
      <c r="J694" s="193"/>
      <c r="K694" s="192"/>
      <c r="L694" s="192"/>
      <c r="M694" s="175"/>
    </row>
    <row r="695" spans="2:13" x14ac:dyDescent="0.2">
      <c r="B695" s="192"/>
      <c r="C695" s="193"/>
      <c r="D695" s="192"/>
      <c r="E695" s="192"/>
      <c r="F695" s="192"/>
      <c r="G695" s="192"/>
      <c r="H695" s="170"/>
      <c r="I695" s="192"/>
      <c r="J695" s="193"/>
      <c r="K695" s="192"/>
      <c r="L695" s="192"/>
      <c r="M695" s="175"/>
    </row>
    <row r="696" spans="2:13" x14ac:dyDescent="0.2">
      <c r="B696" s="192"/>
      <c r="C696" s="193"/>
      <c r="D696" s="192"/>
      <c r="E696" s="192"/>
      <c r="F696" s="192"/>
      <c r="G696" s="192"/>
      <c r="H696" s="170"/>
      <c r="I696" s="192"/>
      <c r="J696" s="193"/>
      <c r="K696" s="192"/>
      <c r="L696" s="192"/>
      <c r="M696" s="175"/>
    </row>
    <row r="697" spans="2:13" x14ac:dyDescent="0.2">
      <c r="B697" s="192"/>
      <c r="C697" s="193"/>
      <c r="D697" s="192"/>
      <c r="E697" s="192"/>
      <c r="F697" s="192"/>
      <c r="G697" s="192"/>
      <c r="H697" s="170"/>
      <c r="I697" s="192"/>
      <c r="J697" s="193"/>
      <c r="K697" s="192"/>
      <c r="L697" s="192"/>
      <c r="M697" s="175"/>
    </row>
    <row r="698" spans="2:13" x14ac:dyDescent="0.2">
      <c r="B698" s="192"/>
      <c r="C698" s="193"/>
      <c r="D698" s="192"/>
      <c r="E698" s="192"/>
      <c r="F698" s="192"/>
      <c r="G698" s="192"/>
      <c r="H698" s="170"/>
      <c r="I698" s="192"/>
      <c r="J698" s="193"/>
      <c r="K698" s="192"/>
      <c r="L698" s="192"/>
      <c r="M698" s="175"/>
    </row>
    <row r="699" spans="2:13" x14ac:dyDescent="0.2">
      <c r="B699" s="192"/>
      <c r="C699" s="193"/>
      <c r="D699" s="192"/>
      <c r="E699" s="192"/>
      <c r="F699" s="192"/>
      <c r="G699" s="192"/>
      <c r="H699" s="170"/>
      <c r="I699" s="192"/>
      <c r="J699" s="193"/>
      <c r="K699" s="192"/>
      <c r="L699" s="192"/>
      <c r="M699" s="175"/>
    </row>
    <row r="700" spans="2:13" x14ac:dyDescent="0.2">
      <c r="B700" s="192"/>
      <c r="C700" s="193"/>
      <c r="D700" s="192"/>
      <c r="E700" s="192"/>
      <c r="F700" s="192"/>
      <c r="G700" s="192"/>
      <c r="H700" s="170"/>
      <c r="I700" s="192"/>
      <c r="J700" s="193"/>
      <c r="K700" s="192"/>
      <c r="L700" s="192"/>
      <c r="M700" s="175"/>
    </row>
    <row r="701" spans="2:13" x14ac:dyDescent="0.2">
      <c r="B701" s="192"/>
      <c r="C701" s="193"/>
      <c r="D701" s="192"/>
      <c r="E701" s="192"/>
      <c r="F701" s="192"/>
      <c r="G701" s="192"/>
      <c r="H701" s="170"/>
      <c r="I701" s="192"/>
      <c r="J701" s="193"/>
      <c r="K701" s="192"/>
      <c r="L701" s="192"/>
      <c r="M701" s="175"/>
    </row>
    <row r="702" spans="2:13" x14ac:dyDescent="0.2">
      <c r="B702" s="192"/>
      <c r="C702" s="193"/>
      <c r="D702" s="192"/>
      <c r="E702" s="192"/>
      <c r="F702" s="192"/>
      <c r="G702" s="192"/>
      <c r="H702" s="170"/>
      <c r="I702" s="192"/>
      <c r="J702" s="193"/>
      <c r="K702" s="192"/>
      <c r="L702" s="192"/>
      <c r="M702" s="175"/>
    </row>
    <row r="703" spans="2:13" x14ac:dyDescent="0.2">
      <c r="B703" s="192"/>
      <c r="C703" s="193"/>
      <c r="D703" s="192"/>
      <c r="E703" s="192"/>
      <c r="F703" s="192"/>
      <c r="G703" s="192"/>
      <c r="H703" s="170"/>
      <c r="I703" s="192"/>
      <c r="J703" s="193"/>
      <c r="K703" s="192"/>
      <c r="L703" s="192"/>
      <c r="M703" s="175"/>
    </row>
    <row r="704" spans="2:13" x14ac:dyDescent="0.2">
      <c r="B704" s="192"/>
      <c r="C704" s="193"/>
      <c r="D704" s="192"/>
      <c r="E704" s="192"/>
      <c r="F704" s="192"/>
      <c r="G704" s="192"/>
      <c r="H704" s="170"/>
      <c r="I704" s="192"/>
      <c r="J704" s="193"/>
      <c r="K704" s="192"/>
      <c r="L704" s="192"/>
      <c r="M704" s="175"/>
    </row>
    <row r="705" spans="2:13" x14ac:dyDescent="0.2">
      <c r="B705" s="192"/>
      <c r="C705" s="193"/>
      <c r="D705" s="192"/>
      <c r="E705" s="192"/>
      <c r="F705" s="192"/>
      <c r="G705" s="192"/>
      <c r="H705" s="170"/>
      <c r="I705" s="192"/>
      <c r="J705" s="193"/>
      <c r="K705" s="192"/>
      <c r="L705" s="192"/>
      <c r="M705" s="175"/>
    </row>
    <row r="706" spans="2:13" x14ac:dyDescent="0.2">
      <c r="B706" s="192"/>
      <c r="C706" s="193"/>
      <c r="D706" s="192"/>
      <c r="E706" s="192"/>
      <c r="F706" s="192"/>
      <c r="G706" s="192"/>
      <c r="H706" s="170"/>
      <c r="I706" s="192"/>
      <c r="J706" s="193"/>
      <c r="K706" s="192"/>
      <c r="L706" s="192"/>
      <c r="M706" s="175"/>
    </row>
    <row r="707" spans="2:13" x14ac:dyDescent="0.2">
      <c r="B707" s="192"/>
      <c r="C707" s="193"/>
      <c r="D707" s="192"/>
      <c r="E707" s="192"/>
      <c r="F707" s="192"/>
      <c r="G707" s="192"/>
      <c r="H707" s="170"/>
      <c r="I707" s="192"/>
      <c r="J707" s="193"/>
      <c r="K707" s="192"/>
      <c r="L707" s="192"/>
      <c r="M707" s="175"/>
    </row>
    <row r="708" spans="2:13" x14ac:dyDescent="0.2">
      <c r="B708" s="192"/>
      <c r="C708" s="193"/>
      <c r="D708" s="192"/>
      <c r="E708" s="192"/>
      <c r="F708" s="192"/>
      <c r="G708" s="192"/>
      <c r="H708" s="170"/>
      <c r="I708" s="192"/>
      <c r="J708" s="193"/>
      <c r="K708" s="192"/>
      <c r="L708" s="192"/>
      <c r="M708" s="175"/>
    </row>
    <row r="709" spans="2:13" x14ac:dyDescent="0.2">
      <c r="B709" s="192"/>
      <c r="C709" s="193"/>
      <c r="D709" s="192"/>
      <c r="E709" s="192"/>
      <c r="F709" s="192"/>
      <c r="G709" s="192"/>
      <c r="H709" s="170"/>
      <c r="I709" s="192"/>
      <c r="J709" s="193"/>
      <c r="K709" s="192"/>
      <c r="L709" s="192"/>
      <c r="M709" s="175"/>
    </row>
    <row r="710" spans="2:13" x14ac:dyDescent="0.2">
      <c r="B710" s="192"/>
      <c r="C710" s="193"/>
      <c r="D710" s="192"/>
      <c r="E710" s="192"/>
      <c r="F710" s="192"/>
      <c r="G710" s="192"/>
      <c r="H710" s="170"/>
      <c r="I710" s="192"/>
      <c r="J710" s="193"/>
      <c r="K710" s="192"/>
      <c r="L710" s="192"/>
      <c r="M710" s="175"/>
    </row>
    <row r="711" spans="2:13" x14ac:dyDescent="0.2">
      <c r="B711" s="192"/>
      <c r="C711" s="193"/>
      <c r="D711" s="192"/>
      <c r="E711" s="192"/>
      <c r="F711" s="192"/>
      <c r="G711" s="192"/>
      <c r="H711" s="170"/>
      <c r="I711" s="192"/>
      <c r="J711" s="193"/>
      <c r="K711" s="192"/>
      <c r="L711" s="192"/>
      <c r="M711" s="175"/>
    </row>
    <row r="712" spans="2:13" x14ac:dyDescent="0.2">
      <c r="B712" s="192"/>
      <c r="C712" s="193"/>
      <c r="D712" s="192"/>
      <c r="E712" s="192"/>
      <c r="F712" s="192"/>
      <c r="G712" s="192"/>
      <c r="H712" s="170"/>
      <c r="I712" s="192"/>
      <c r="J712" s="193"/>
      <c r="K712" s="192"/>
      <c r="L712" s="192"/>
      <c r="M712" s="175"/>
    </row>
    <row r="713" spans="2:13" x14ac:dyDescent="0.2">
      <c r="B713" s="192"/>
      <c r="C713" s="193"/>
      <c r="D713" s="192"/>
      <c r="E713" s="192"/>
      <c r="F713" s="192"/>
      <c r="G713" s="192"/>
      <c r="H713" s="170"/>
      <c r="I713" s="192"/>
      <c r="J713" s="193"/>
      <c r="K713" s="192"/>
      <c r="L713" s="192"/>
      <c r="M713" s="175"/>
    </row>
    <row r="714" spans="2:13" x14ac:dyDescent="0.2">
      <c r="B714" s="192"/>
      <c r="C714" s="193"/>
      <c r="D714" s="192"/>
      <c r="E714" s="192"/>
      <c r="F714" s="192"/>
      <c r="G714" s="192"/>
      <c r="H714" s="170"/>
      <c r="I714" s="192"/>
      <c r="J714" s="193"/>
      <c r="K714" s="192"/>
      <c r="L714" s="192"/>
      <c r="M714" s="175"/>
    </row>
    <row r="715" spans="2:13" x14ac:dyDescent="0.2">
      <c r="B715" s="192"/>
      <c r="C715" s="193"/>
      <c r="D715" s="192"/>
      <c r="E715" s="192"/>
      <c r="F715" s="192"/>
      <c r="G715" s="192"/>
      <c r="H715" s="170"/>
      <c r="I715" s="192"/>
      <c r="J715" s="193"/>
      <c r="K715" s="192"/>
      <c r="L715" s="192"/>
      <c r="M715" s="175"/>
    </row>
    <row r="716" spans="2:13" x14ac:dyDescent="0.2">
      <c r="B716" s="192"/>
      <c r="C716" s="193"/>
      <c r="D716" s="192"/>
      <c r="E716" s="192"/>
      <c r="F716" s="192"/>
      <c r="G716" s="192"/>
      <c r="H716" s="170"/>
      <c r="I716" s="192"/>
      <c r="J716" s="193"/>
      <c r="K716" s="192"/>
      <c r="L716" s="192"/>
      <c r="M716" s="175"/>
    </row>
    <row r="717" spans="2:13" x14ac:dyDescent="0.2">
      <c r="B717" s="192"/>
      <c r="C717" s="193"/>
      <c r="D717" s="192"/>
      <c r="E717" s="192"/>
      <c r="F717" s="192"/>
      <c r="G717" s="192"/>
      <c r="H717" s="170"/>
      <c r="I717" s="192"/>
      <c r="J717" s="193"/>
      <c r="K717" s="192"/>
      <c r="L717" s="192"/>
      <c r="M717" s="175"/>
    </row>
    <row r="718" spans="2:13" x14ac:dyDescent="0.2">
      <c r="B718" s="192"/>
      <c r="C718" s="193"/>
      <c r="D718" s="192"/>
      <c r="E718" s="192"/>
      <c r="F718" s="192"/>
      <c r="G718" s="192"/>
      <c r="H718" s="170"/>
      <c r="I718" s="192"/>
      <c r="J718" s="193"/>
      <c r="K718" s="192"/>
      <c r="L718" s="192"/>
      <c r="M718" s="175"/>
    </row>
    <row r="719" spans="2:13" x14ac:dyDescent="0.2">
      <c r="B719" s="192"/>
      <c r="C719" s="193"/>
      <c r="D719" s="192"/>
      <c r="E719" s="192"/>
      <c r="F719" s="192"/>
      <c r="G719" s="192"/>
      <c r="H719" s="170"/>
      <c r="I719" s="192"/>
      <c r="J719" s="193"/>
      <c r="K719" s="192"/>
      <c r="L719" s="192"/>
      <c r="M719" s="175"/>
    </row>
    <row r="720" spans="2:13" x14ac:dyDescent="0.2">
      <c r="B720" s="192"/>
      <c r="C720" s="193"/>
      <c r="D720" s="192"/>
      <c r="E720" s="192"/>
      <c r="F720" s="192"/>
      <c r="G720" s="192"/>
      <c r="H720" s="170"/>
      <c r="I720" s="192"/>
      <c r="J720" s="193"/>
      <c r="K720" s="192"/>
      <c r="L720" s="192"/>
      <c r="M720" s="175"/>
    </row>
    <row r="721" spans="2:13" x14ac:dyDescent="0.2">
      <c r="B721" s="192"/>
      <c r="C721" s="193"/>
      <c r="D721" s="192"/>
      <c r="E721" s="192"/>
      <c r="F721" s="192"/>
      <c r="G721" s="192"/>
      <c r="H721" s="170"/>
      <c r="I721" s="192"/>
      <c r="J721" s="193"/>
      <c r="K721" s="192"/>
      <c r="L721" s="192"/>
      <c r="M721" s="175"/>
    </row>
    <row r="722" spans="2:13" x14ac:dyDescent="0.2">
      <c r="B722" s="192"/>
      <c r="C722" s="193"/>
      <c r="D722" s="192"/>
      <c r="E722" s="192"/>
      <c r="F722" s="192"/>
      <c r="G722" s="192"/>
      <c r="H722" s="170"/>
      <c r="I722" s="192"/>
      <c r="J722" s="193"/>
      <c r="K722" s="192"/>
      <c r="L722" s="192"/>
      <c r="M722" s="175"/>
    </row>
    <row r="723" spans="2:13" x14ac:dyDescent="0.2">
      <c r="B723" s="192"/>
      <c r="C723" s="193"/>
      <c r="D723" s="192"/>
      <c r="E723" s="192"/>
      <c r="F723" s="192"/>
      <c r="G723" s="192"/>
      <c r="H723" s="170"/>
      <c r="I723" s="192"/>
      <c r="J723" s="193"/>
      <c r="K723" s="192"/>
      <c r="L723" s="192"/>
      <c r="M723" s="175"/>
    </row>
    <row r="724" spans="2:13" x14ac:dyDescent="0.2">
      <c r="B724" s="192"/>
      <c r="C724" s="193"/>
      <c r="D724" s="192"/>
      <c r="E724" s="192"/>
      <c r="F724" s="192"/>
      <c r="G724" s="192"/>
      <c r="H724" s="170"/>
      <c r="I724" s="192"/>
      <c r="J724" s="193"/>
      <c r="K724" s="192"/>
      <c r="L724" s="192"/>
      <c r="M724" s="175"/>
    </row>
    <row r="725" spans="2:13" x14ac:dyDescent="0.2">
      <c r="B725" s="192"/>
      <c r="C725" s="193"/>
      <c r="D725" s="192"/>
      <c r="E725" s="192"/>
      <c r="F725" s="192"/>
      <c r="G725" s="192"/>
      <c r="H725" s="170"/>
      <c r="I725" s="192"/>
      <c r="J725" s="193"/>
      <c r="K725" s="192"/>
      <c r="L725" s="192"/>
      <c r="M725" s="175"/>
    </row>
    <row r="726" spans="2:13" x14ac:dyDescent="0.2">
      <c r="B726" s="192"/>
      <c r="C726" s="193"/>
      <c r="D726" s="192"/>
      <c r="E726" s="192"/>
      <c r="F726" s="192"/>
      <c r="G726" s="192"/>
      <c r="H726" s="170"/>
      <c r="I726" s="192"/>
      <c r="J726" s="193"/>
      <c r="K726" s="192"/>
      <c r="L726" s="192"/>
      <c r="M726" s="175"/>
    </row>
    <row r="727" spans="2:13" x14ac:dyDescent="0.2">
      <c r="B727" s="192"/>
      <c r="C727" s="193"/>
      <c r="D727" s="192"/>
      <c r="E727" s="192"/>
      <c r="F727" s="192"/>
      <c r="G727" s="192"/>
      <c r="H727" s="170"/>
      <c r="I727" s="192"/>
      <c r="J727" s="193"/>
      <c r="K727" s="192"/>
      <c r="L727" s="192"/>
      <c r="M727" s="175"/>
    </row>
    <row r="728" spans="2:13" x14ac:dyDescent="0.2">
      <c r="B728" s="192"/>
      <c r="C728" s="193"/>
      <c r="D728" s="192"/>
      <c r="E728" s="192"/>
      <c r="F728" s="192"/>
      <c r="G728" s="192"/>
      <c r="H728" s="170"/>
      <c r="I728" s="192"/>
      <c r="J728" s="193"/>
      <c r="K728" s="192"/>
      <c r="L728" s="192"/>
      <c r="M728" s="175"/>
    </row>
    <row r="729" spans="2:13" x14ac:dyDescent="0.2">
      <c r="B729" s="192"/>
      <c r="C729" s="193"/>
      <c r="D729" s="192"/>
      <c r="E729" s="192"/>
      <c r="F729" s="192"/>
      <c r="G729" s="192"/>
      <c r="H729" s="170"/>
      <c r="I729" s="192"/>
      <c r="J729" s="193"/>
      <c r="K729" s="192"/>
      <c r="L729" s="192"/>
      <c r="M729" s="175"/>
    </row>
    <row r="730" spans="2:13" x14ac:dyDescent="0.2">
      <c r="B730" s="192"/>
      <c r="C730" s="193"/>
      <c r="D730" s="192"/>
      <c r="E730" s="192"/>
      <c r="F730" s="192"/>
      <c r="G730" s="192"/>
      <c r="H730" s="170"/>
      <c r="I730" s="192"/>
      <c r="J730" s="193"/>
      <c r="K730" s="192"/>
      <c r="L730" s="192"/>
      <c r="M730" s="175"/>
    </row>
    <row r="731" spans="2:13" x14ac:dyDescent="0.2">
      <c r="B731" s="192"/>
      <c r="C731" s="193"/>
      <c r="D731" s="192"/>
      <c r="E731" s="192"/>
      <c r="F731" s="192"/>
      <c r="G731" s="192"/>
      <c r="H731" s="170"/>
      <c r="I731" s="192"/>
      <c r="J731" s="193"/>
      <c r="K731" s="192"/>
      <c r="L731" s="192"/>
      <c r="M731" s="175"/>
    </row>
    <row r="732" spans="2:13" x14ac:dyDescent="0.2">
      <c r="B732" s="192"/>
      <c r="C732" s="193"/>
      <c r="D732" s="192"/>
      <c r="E732" s="192"/>
      <c r="F732" s="192"/>
      <c r="G732" s="192"/>
      <c r="H732" s="170"/>
      <c r="I732" s="192"/>
      <c r="J732" s="193"/>
      <c r="K732" s="192"/>
      <c r="L732" s="192"/>
      <c r="M732" s="175"/>
    </row>
    <row r="733" spans="2:13" x14ac:dyDescent="0.2">
      <c r="B733" s="192"/>
      <c r="C733" s="193"/>
      <c r="D733" s="192"/>
      <c r="E733" s="192"/>
      <c r="F733" s="192"/>
      <c r="G733" s="192"/>
      <c r="H733" s="170"/>
      <c r="I733" s="192"/>
      <c r="J733" s="193"/>
      <c r="K733" s="192"/>
      <c r="L733" s="192"/>
      <c r="M733" s="175"/>
    </row>
    <row r="734" spans="2:13" x14ac:dyDescent="0.2">
      <c r="B734" s="192"/>
      <c r="C734" s="193"/>
      <c r="D734" s="192"/>
      <c r="E734" s="192"/>
      <c r="F734" s="192"/>
      <c r="G734" s="192"/>
      <c r="H734" s="170"/>
      <c r="I734" s="192"/>
      <c r="J734" s="193"/>
      <c r="K734" s="192"/>
      <c r="L734" s="192"/>
      <c r="M734" s="175"/>
    </row>
    <row r="735" spans="2:13" x14ac:dyDescent="0.2">
      <c r="B735" s="192"/>
      <c r="C735" s="193"/>
      <c r="D735" s="192"/>
      <c r="E735" s="192"/>
      <c r="F735" s="192"/>
      <c r="G735" s="192"/>
      <c r="H735" s="170"/>
      <c r="I735" s="192"/>
      <c r="J735" s="193"/>
      <c r="K735" s="192"/>
      <c r="L735" s="192"/>
      <c r="M735" s="175"/>
    </row>
    <row r="736" spans="2:13" x14ac:dyDescent="0.2">
      <c r="B736" s="192"/>
      <c r="C736" s="193"/>
      <c r="D736" s="192"/>
      <c r="E736" s="192"/>
      <c r="F736" s="192"/>
      <c r="G736" s="192"/>
      <c r="H736" s="170"/>
      <c r="I736" s="192"/>
      <c r="J736" s="193"/>
      <c r="K736" s="192"/>
      <c r="L736" s="192"/>
      <c r="M736" s="175"/>
    </row>
    <row r="737" spans="2:13" x14ac:dyDescent="0.2">
      <c r="B737" s="192"/>
      <c r="C737" s="193"/>
      <c r="D737" s="192"/>
      <c r="E737" s="192"/>
      <c r="F737" s="192"/>
      <c r="G737" s="192"/>
      <c r="H737" s="170"/>
      <c r="I737" s="192"/>
      <c r="J737" s="193"/>
      <c r="K737" s="192"/>
      <c r="L737" s="192"/>
      <c r="M737" s="175"/>
    </row>
    <row r="738" spans="2:13" x14ac:dyDescent="0.2">
      <c r="B738" s="192"/>
      <c r="C738" s="193"/>
      <c r="D738" s="192"/>
      <c r="E738" s="192"/>
      <c r="F738" s="192"/>
      <c r="G738" s="192"/>
      <c r="H738" s="170"/>
      <c r="I738" s="192"/>
      <c r="J738" s="193"/>
      <c r="K738" s="192"/>
      <c r="L738" s="192"/>
      <c r="M738" s="175"/>
    </row>
    <row r="739" spans="2:13" x14ac:dyDescent="0.2">
      <c r="B739" s="192"/>
      <c r="C739" s="193"/>
      <c r="D739" s="192"/>
      <c r="E739" s="192"/>
      <c r="F739" s="192"/>
      <c r="G739" s="192"/>
      <c r="H739" s="170"/>
      <c r="I739" s="192"/>
      <c r="J739" s="193"/>
      <c r="K739" s="192"/>
      <c r="L739" s="192"/>
      <c r="M739" s="175"/>
    </row>
    <row r="740" spans="2:13" x14ac:dyDescent="0.2">
      <c r="B740" s="192"/>
      <c r="C740" s="193"/>
      <c r="D740" s="192"/>
      <c r="E740" s="192"/>
      <c r="F740" s="192"/>
      <c r="G740" s="192"/>
      <c r="H740" s="170"/>
      <c r="I740" s="192"/>
      <c r="J740" s="193"/>
      <c r="K740" s="192"/>
      <c r="L740" s="192"/>
      <c r="M740" s="175"/>
    </row>
    <row r="741" spans="2:13" x14ac:dyDescent="0.2">
      <c r="B741" s="192"/>
      <c r="C741" s="193"/>
      <c r="D741" s="192"/>
      <c r="E741" s="192"/>
      <c r="F741" s="192"/>
      <c r="G741" s="192"/>
      <c r="H741" s="170"/>
      <c r="I741" s="192"/>
      <c r="J741" s="193"/>
      <c r="K741" s="192"/>
      <c r="L741" s="192"/>
      <c r="M741" s="175"/>
    </row>
    <row r="742" spans="2:13" x14ac:dyDescent="0.2">
      <c r="B742" s="192"/>
      <c r="C742" s="193"/>
      <c r="D742" s="192"/>
      <c r="E742" s="192"/>
      <c r="F742" s="192"/>
      <c r="G742" s="192"/>
      <c r="H742" s="170"/>
      <c r="I742" s="192"/>
      <c r="J742" s="193"/>
      <c r="K742" s="192"/>
      <c r="L742" s="192"/>
      <c r="M742" s="175"/>
    </row>
    <row r="743" spans="2:13" x14ac:dyDescent="0.2">
      <c r="B743" s="192"/>
      <c r="C743" s="193"/>
      <c r="D743" s="192"/>
      <c r="E743" s="192"/>
      <c r="F743" s="192"/>
      <c r="G743" s="192"/>
      <c r="H743" s="170"/>
      <c r="I743" s="192"/>
      <c r="J743" s="193"/>
      <c r="K743" s="192"/>
      <c r="L743" s="192"/>
      <c r="M743" s="175"/>
    </row>
    <row r="744" spans="2:13" x14ac:dyDescent="0.2">
      <c r="B744" s="192"/>
      <c r="C744" s="193"/>
      <c r="D744" s="192"/>
      <c r="E744" s="192"/>
      <c r="F744" s="192"/>
      <c r="G744" s="192"/>
      <c r="H744" s="170"/>
      <c r="I744" s="192"/>
      <c r="J744" s="193"/>
      <c r="K744" s="192"/>
      <c r="L744" s="192"/>
      <c r="M744" s="175"/>
    </row>
    <row r="745" spans="2:13" x14ac:dyDescent="0.2">
      <c r="B745" s="192"/>
      <c r="C745" s="193"/>
      <c r="D745" s="192"/>
      <c r="E745" s="192"/>
      <c r="F745" s="192"/>
      <c r="G745" s="192"/>
      <c r="H745" s="170"/>
      <c r="I745" s="192"/>
      <c r="J745" s="193"/>
      <c r="K745" s="192"/>
      <c r="L745" s="192"/>
      <c r="M745" s="175"/>
    </row>
    <row r="746" spans="2:13" x14ac:dyDescent="0.2">
      <c r="B746" s="192"/>
      <c r="C746" s="193"/>
      <c r="D746" s="192"/>
      <c r="E746" s="192"/>
      <c r="F746" s="192"/>
      <c r="G746" s="192"/>
      <c r="H746" s="170"/>
      <c r="I746" s="192"/>
      <c r="J746" s="193"/>
      <c r="K746" s="192"/>
      <c r="L746" s="192"/>
      <c r="M746" s="175"/>
    </row>
    <row r="747" spans="2:13" x14ac:dyDescent="0.2">
      <c r="B747" s="192"/>
      <c r="C747" s="193"/>
      <c r="D747" s="192"/>
      <c r="E747" s="192"/>
      <c r="F747" s="192"/>
      <c r="G747" s="192"/>
      <c r="H747" s="170"/>
      <c r="I747" s="192"/>
      <c r="J747" s="193"/>
      <c r="K747" s="192"/>
      <c r="L747" s="192"/>
      <c r="M747" s="175"/>
    </row>
    <row r="748" spans="2:13" x14ac:dyDescent="0.2">
      <c r="B748" s="192"/>
      <c r="C748" s="193"/>
      <c r="D748" s="192"/>
      <c r="E748" s="192"/>
      <c r="F748" s="192"/>
      <c r="G748" s="192"/>
      <c r="H748" s="170"/>
      <c r="I748" s="192"/>
      <c r="J748" s="193"/>
      <c r="K748" s="192"/>
      <c r="L748" s="192"/>
      <c r="M748" s="175"/>
    </row>
    <row r="749" spans="2:13" x14ac:dyDescent="0.2">
      <c r="B749" s="192"/>
      <c r="C749" s="193"/>
      <c r="D749" s="192"/>
      <c r="E749" s="192"/>
      <c r="F749" s="192"/>
      <c r="G749" s="192"/>
      <c r="H749" s="170"/>
      <c r="I749" s="192"/>
      <c r="J749" s="193"/>
      <c r="K749" s="192"/>
      <c r="L749" s="192"/>
      <c r="M749" s="175"/>
    </row>
    <row r="750" spans="2:13" x14ac:dyDescent="0.2">
      <c r="B750" s="192"/>
      <c r="C750" s="193"/>
      <c r="D750" s="192"/>
      <c r="E750" s="192"/>
      <c r="F750" s="192"/>
      <c r="G750" s="192"/>
      <c r="H750" s="170"/>
      <c r="I750" s="192"/>
      <c r="J750" s="193"/>
      <c r="K750" s="192"/>
      <c r="L750" s="192"/>
      <c r="M750" s="175"/>
    </row>
    <row r="751" spans="2:13" x14ac:dyDescent="0.2">
      <c r="B751" s="192"/>
      <c r="C751" s="193"/>
      <c r="D751" s="192"/>
      <c r="E751" s="192"/>
      <c r="F751" s="192"/>
      <c r="G751" s="192"/>
      <c r="H751" s="170"/>
      <c r="I751" s="192"/>
      <c r="J751" s="193"/>
      <c r="K751" s="192"/>
      <c r="L751" s="192"/>
      <c r="M751" s="175"/>
    </row>
    <row r="752" spans="2:13" x14ac:dyDescent="0.2">
      <c r="B752" s="192"/>
      <c r="C752" s="193"/>
      <c r="D752" s="192"/>
      <c r="E752" s="192"/>
      <c r="F752" s="192"/>
      <c r="G752" s="192"/>
      <c r="H752" s="170"/>
      <c r="I752" s="192"/>
      <c r="J752" s="193"/>
      <c r="K752" s="192"/>
      <c r="L752" s="192"/>
      <c r="M752" s="175"/>
    </row>
    <row r="753" spans="2:13" x14ac:dyDescent="0.2">
      <c r="B753" s="192"/>
      <c r="C753" s="193"/>
      <c r="D753" s="192"/>
      <c r="E753" s="192"/>
      <c r="F753" s="192"/>
      <c r="G753" s="192"/>
      <c r="H753" s="170"/>
      <c r="I753" s="192"/>
      <c r="J753" s="193"/>
      <c r="K753" s="192"/>
      <c r="L753" s="192"/>
      <c r="M753" s="175"/>
    </row>
    <row r="754" spans="2:13" x14ac:dyDescent="0.2">
      <c r="B754" s="192"/>
      <c r="C754" s="193"/>
      <c r="D754" s="192"/>
      <c r="E754" s="192"/>
      <c r="F754" s="192"/>
      <c r="G754" s="192"/>
      <c r="H754" s="170"/>
      <c r="I754" s="192"/>
      <c r="J754" s="193"/>
      <c r="K754" s="192"/>
      <c r="L754" s="192"/>
      <c r="M754" s="175"/>
    </row>
    <row r="755" spans="2:13" x14ac:dyDescent="0.2">
      <c r="B755" s="192"/>
      <c r="C755" s="193"/>
      <c r="D755" s="192"/>
      <c r="E755" s="192"/>
      <c r="F755" s="192"/>
      <c r="G755" s="192"/>
      <c r="H755" s="170"/>
      <c r="I755" s="192"/>
      <c r="J755" s="193"/>
      <c r="K755" s="192"/>
      <c r="L755" s="192"/>
      <c r="M755" s="175"/>
    </row>
    <row r="756" spans="2:13" x14ac:dyDescent="0.2">
      <c r="B756" s="192"/>
      <c r="C756" s="193"/>
      <c r="D756" s="192"/>
      <c r="E756" s="192"/>
      <c r="F756" s="192"/>
      <c r="G756" s="192"/>
      <c r="H756" s="170"/>
      <c r="I756" s="192"/>
      <c r="J756" s="193"/>
      <c r="K756" s="192"/>
      <c r="L756" s="192"/>
      <c r="M756" s="175"/>
    </row>
    <row r="757" spans="2:13" x14ac:dyDescent="0.2">
      <c r="B757" s="192"/>
      <c r="C757" s="193"/>
      <c r="D757" s="192"/>
      <c r="E757" s="192"/>
      <c r="F757" s="192"/>
      <c r="G757" s="192"/>
      <c r="H757" s="170"/>
      <c r="I757" s="192"/>
      <c r="J757" s="193"/>
      <c r="K757" s="192"/>
      <c r="L757" s="192"/>
      <c r="M757" s="175"/>
    </row>
    <row r="758" spans="2:13" x14ac:dyDescent="0.2">
      <c r="B758" s="192"/>
      <c r="C758" s="193"/>
      <c r="D758" s="192"/>
      <c r="E758" s="192"/>
      <c r="F758" s="192"/>
      <c r="G758" s="192"/>
      <c r="H758" s="170"/>
      <c r="I758" s="192"/>
      <c r="J758" s="193"/>
      <c r="K758" s="192"/>
      <c r="L758" s="192"/>
      <c r="M758" s="175"/>
    </row>
    <row r="759" spans="2:13" x14ac:dyDescent="0.2">
      <c r="B759" s="192"/>
      <c r="C759" s="193"/>
      <c r="D759" s="192"/>
      <c r="E759" s="192"/>
      <c r="F759" s="192"/>
      <c r="G759" s="192"/>
      <c r="H759" s="170"/>
      <c r="I759" s="192"/>
      <c r="J759" s="193"/>
      <c r="K759" s="192"/>
      <c r="L759" s="192"/>
      <c r="M759" s="175"/>
    </row>
    <row r="760" spans="2:13" x14ac:dyDescent="0.2">
      <c r="B760" s="192"/>
      <c r="C760" s="193"/>
      <c r="D760" s="192"/>
      <c r="E760" s="192"/>
      <c r="F760" s="192"/>
      <c r="G760" s="192"/>
      <c r="H760" s="170"/>
      <c r="I760" s="192"/>
      <c r="J760" s="193"/>
      <c r="K760" s="192"/>
      <c r="L760" s="192"/>
      <c r="M760" s="175"/>
    </row>
    <row r="761" spans="2:13" x14ac:dyDescent="0.2">
      <c r="B761" s="192"/>
      <c r="C761" s="193"/>
      <c r="D761" s="192"/>
      <c r="E761" s="192"/>
      <c r="F761" s="192"/>
      <c r="G761" s="192"/>
      <c r="H761" s="170"/>
      <c r="I761" s="192"/>
      <c r="J761" s="193"/>
      <c r="K761" s="192"/>
      <c r="L761" s="192"/>
      <c r="M761" s="175"/>
    </row>
    <row r="762" spans="2:13" x14ac:dyDescent="0.2">
      <c r="B762" s="192"/>
      <c r="C762" s="193"/>
      <c r="D762" s="192"/>
      <c r="E762" s="192"/>
      <c r="F762" s="192"/>
      <c r="G762" s="192"/>
      <c r="H762" s="170"/>
      <c r="I762" s="192"/>
      <c r="J762" s="193"/>
      <c r="K762" s="192"/>
      <c r="L762" s="192"/>
      <c r="M762" s="175"/>
    </row>
    <row r="763" spans="2:13" x14ac:dyDescent="0.2">
      <c r="B763" s="192"/>
      <c r="C763" s="193"/>
      <c r="D763" s="192"/>
      <c r="E763" s="192"/>
      <c r="F763" s="192"/>
      <c r="G763" s="192"/>
      <c r="H763" s="170"/>
      <c r="I763" s="192"/>
      <c r="J763" s="193"/>
      <c r="K763" s="192"/>
      <c r="L763" s="192"/>
      <c r="M763" s="175"/>
    </row>
    <row r="764" spans="2:13" x14ac:dyDescent="0.2">
      <c r="B764" s="192"/>
      <c r="C764" s="193"/>
      <c r="D764" s="192"/>
      <c r="E764" s="192"/>
      <c r="F764" s="192"/>
      <c r="G764" s="192"/>
      <c r="H764" s="170"/>
      <c r="I764" s="192"/>
      <c r="J764" s="193"/>
      <c r="K764" s="192"/>
      <c r="L764" s="192"/>
      <c r="M764" s="175"/>
    </row>
    <row r="765" spans="2:13" x14ac:dyDescent="0.2">
      <c r="B765" s="192"/>
      <c r="C765" s="193"/>
      <c r="D765" s="192"/>
      <c r="E765" s="192"/>
      <c r="F765" s="192"/>
      <c r="G765" s="192"/>
      <c r="H765" s="170"/>
      <c r="I765" s="192"/>
      <c r="J765" s="193"/>
      <c r="K765" s="192"/>
      <c r="L765" s="192"/>
      <c r="M765" s="175"/>
    </row>
    <row r="766" spans="2:13" x14ac:dyDescent="0.2">
      <c r="B766" s="192"/>
      <c r="C766" s="193"/>
      <c r="D766" s="192"/>
      <c r="E766" s="192"/>
      <c r="F766" s="192"/>
      <c r="G766" s="192"/>
      <c r="H766" s="170"/>
      <c r="I766" s="192"/>
      <c r="J766" s="193"/>
      <c r="K766" s="192"/>
      <c r="L766" s="192"/>
      <c r="M766" s="175"/>
    </row>
    <row r="767" spans="2:13" x14ac:dyDescent="0.2">
      <c r="B767" s="192"/>
      <c r="C767" s="193"/>
      <c r="D767" s="192"/>
      <c r="E767" s="192"/>
      <c r="F767" s="192"/>
      <c r="G767" s="192"/>
      <c r="H767" s="170"/>
      <c r="I767" s="192"/>
      <c r="J767" s="193"/>
      <c r="K767" s="192"/>
      <c r="L767" s="192"/>
      <c r="M767" s="175"/>
    </row>
    <row r="768" spans="2:13" x14ac:dyDescent="0.2">
      <c r="B768" s="192"/>
      <c r="C768" s="193"/>
      <c r="D768" s="192"/>
      <c r="E768" s="192"/>
      <c r="F768" s="192"/>
      <c r="G768" s="192"/>
      <c r="H768" s="170"/>
      <c r="I768" s="192"/>
      <c r="J768" s="193"/>
      <c r="K768" s="192"/>
      <c r="L768" s="192"/>
      <c r="M768" s="175"/>
    </row>
    <row r="769" spans="2:13" x14ac:dyDescent="0.2">
      <c r="B769" s="192"/>
      <c r="C769" s="193"/>
      <c r="D769" s="192"/>
      <c r="E769" s="192"/>
      <c r="F769" s="192"/>
      <c r="G769" s="192"/>
      <c r="H769" s="170"/>
      <c r="I769" s="192"/>
      <c r="J769" s="193"/>
      <c r="K769" s="192"/>
      <c r="L769" s="192"/>
      <c r="M769" s="175"/>
    </row>
    <row r="770" spans="2:13" x14ac:dyDescent="0.2">
      <c r="B770" s="192"/>
      <c r="C770" s="193"/>
      <c r="D770" s="192"/>
      <c r="E770" s="192"/>
      <c r="F770" s="192"/>
      <c r="G770" s="192"/>
      <c r="H770" s="170"/>
      <c r="I770" s="192"/>
      <c r="J770" s="193"/>
      <c r="K770" s="192"/>
      <c r="L770" s="192"/>
      <c r="M770" s="175"/>
    </row>
    <row r="771" spans="2:13" x14ac:dyDescent="0.2">
      <c r="B771" s="192"/>
      <c r="C771" s="193"/>
      <c r="D771" s="192"/>
      <c r="E771" s="192"/>
      <c r="F771" s="192"/>
      <c r="G771" s="192"/>
      <c r="H771" s="170"/>
      <c r="I771" s="192"/>
      <c r="J771" s="193"/>
      <c r="K771" s="192"/>
      <c r="L771" s="192"/>
      <c r="M771" s="175"/>
    </row>
    <row r="772" spans="2:13" x14ac:dyDescent="0.2">
      <c r="B772" s="192"/>
      <c r="C772" s="193"/>
      <c r="D772" s="192"/>
      <c r="E772" s="192"/>
      <c r="F772" s="192"/>
      <c r="G772" s="192"/>
      <c r="H772" s="170"/>
      <c r="I772" s="192"/>
      <c r="J772" s="193"/>
      <c r="K772" s="192"/>
      <c r="L772" s="192"/>
      <c r="M772" s="175"/>
    </row>
    <row r="773" spans="2:13" x14ac:dyDescent="0.2">
      <c r="B773" s="192"/>
      <c r="C773" s="193"/>
      <c r="D773" s="192"/>
      <c r="E773" s="192"/>
      <c r="F773" s="192"/>
      <c r="G773" s="192"/>
      <c r="H773" s="170"/>
      <c r="I773" s="192"/>
      <c r="J773" s="193"/>
      <c r="K773" s="192"/>
      <c r="L773" s="192"/>
      <c r="M773" s="175"/>
    </row>
    <row r="774" spans="2:13" x14ac:dyDescent="0.2">
      <c r="B774" s="192"/>
      <c r="C774" s="193"/>
      <c r="D774" s="192"/>
      <c r="E774" s="192"/>
      <c r="F774" s="192"/>
      <c r="G774" s="192"/>
      <c r="H774" s="170"/>
      <c r="I774" s="192"/>
      <c r="J774" s="193"/>
      <c r="K774" s="192"/>
      <c r="L774" s="192"/>
      <c r="M774" s="175"/>
    </row>
    <row r="775" spans="2:13" x14ac:dyDescent="0.2">
      <c r="B775" s="192"/>
      <c r="C775" s="193"/>
      <c r="D775" s="192"/>
      <c r="E775" s="192"/>
      <c r="F775" s="192"/>
      <c r="G775" s="192"/>
      <c r="H775" s="170"/>
      <c r="I775" s="192"/>
      <c r="J775" s="193"/>
      <c r="K775" s="192"/>
      <c r="L775" s="192"/>
      <c r="M775" s="175"/>
    </row>
    <row r="776" spans="2:13" x14ac:dyDescent="0.2">
      <c r="B776" s="192"/>
      <c r="C776" s="193"/>
      <c r="D776" s="192"/>
      <c r="E776" s="192"/>
      <c r="F776" s="192"/>
      <c r="G776" s="192"/>
      <c r="H776" s="170"/>
      <c r="I776" s="192"/>
      <c r="J776" s="193"/>
      <c r="K776" s="192"/>
      <c r="L776" s="192"/>
      <c r="M776" s="175"/>
    </row>
    <row r="777" spans="2:13" x14ac:dyDescent="0.2">
      <c r="B777" s="192"/>
      <c r="C777" s="193"/>
      <c r="D777" s="192"/>
      <c r="E777" s="192"/>
      <c r="F777" s="192"/>
      <c r="G777" s="192"/>
      <c r="H777" s="170"/>
      <c r="I777" s="192"/>
      <c r="J777" s="193"/>
      <c r="K777" s="192"/>
      <c r="L777" s="192"/>
      <c r="M777" s="175"/>
    </row>
    <row r="778" spans="2:13" x14ac:dyDescent="0.2">
      <c r="B778" s="192"/>
      <c r="C778" s="193"/>
      <c r="D778" s="192"/>
      <c r="E778" s="192"/>
      <c r="F778" s="192"/>
      <c r="G778" s="192"/>
      <c r="H778" s="170"/>
      <c r="I778" s="192"/>
      <c r="J778" s="193"/>
      <c r="K778" s="192"/>
      <c r="L778" s="192"/>
      <c r="M778" s="175"/>
    </row>
    <row r="779" spans="2:13" x14ac:dyDescent="0.2">
      <c r="B779" s="192"/>
      <c r="C779" s="193"/>
      <c r="D779" s="192"/>
      <c r="E779" s="192"/>
      <c r="F779" s="192"/>
      <c r="G779" s="192"/>
      <c r="H779" s="170"/>
      <c r="I779" s="192"/>
      <c r="J779" s="193"/>
      <c r="K779" s="192"/>
      <c r="L779" s="192"/>
      <c r="M779" s="175"/>
    </row>
    <row r="780" spans="2:13" x14ac:dyDescent="0.2">
      <c r="B780" s="192"/>
      <c r="C780" s="193"/>
      <c r="D780" s="192"/>
      <c r="E780" s="192"/>
      <c r="F780" s="192"/>
      <c r="G780" s="192"/>
      <c r="H780" s="170"/>
      <c r="I780" s="192"/>
      <c r="J780" s="193"/>
      <c r="K780" s="192"/>
      <c r="L780" s="192"/>
      <c r="M780" s="175"/>
    </row>
    <row r="781" spans="2:13" x14ac:dyDescent="0.2">
      <c r="B781" s="192"/>
      <c r="C781" s="193"/>
      <c r="D781" s="192"/>
      <c r="E781" s="192"/>
      <c r="F781" s="192"/>
      <c r="G781" s="192"/>
      <c r="H781" s="170"/>
      <c r="I781" s="192"/>
      <c r="J781" s="193"/>
      <c r="K781" s="192"/>
      <c r="L781" s="192"/>
      <c r="M781" s="175"/>
    </row>
    <row r="782" spans="2:13" x14ac:dyDescent="0.2">
      <c r="B782" s="192"/>
      <c r="C782" s="193"/>
      <c r="D782" s="192"/>
      <c r="E782" s="192"/>
      <c r="F782" s="192"/>
      <c r="G782" s="192"/>
      <c r="H782" s="170"/>
      <c r="I782" s="192"/>
      <c r="J782" s="193"/>
      <c r="K782" s="192"/>
      <c r="L782" s="192"/>
      <c r="M782" s="175"/>
    </row>
    <row r="783" spans="2:13" x14ac:dyDescent="0.2">
      <c r="B783" s="192"/>
      <c r="C783" s="193"/>
      <c r="D783" s="192"/>
      <c r="E783" s="192"/>
      <c r="F783" s="192"/>
      <c r="G783" s="192"/>
      <c r="H783" s="170"/>
      <c r="I783" s="192"/>
      <c r="J783" s="193"/>
      <c r="K783" s="192"/>
      <c r="L783" s="192"/>
      <c r="M783" s="175"/>
    </row>
    <row r="784" spans="2:13" x14ac:dyDescent="0.2">
      <c r="B784" s="192"/>
      <c r="C784" s="193"/>
      <c r="D784" s="192"/>
      <c r="E784" s="192"/>
      <c r="F784" s="192"/>
      <c r="G784" s="192"/>
      <c r="H784" s="170"/>
      <c r="I784" s="192"/>
      <c r="J784" s="193"/>
      <c r="K784" s="192"/>
      <c r="L784" s="192"/>
      <c r="M784" s="175"/>
    </row>
    <row r="785" spans="2:13" x14ac:dyDescent="0.2">
      <c r="B785" s="192"/>
      <c r="C785" s="193"/>
      <c r="D785" s="192"/>
      <c r="E785" s="192"/>
      <c r="F785" s="192"/>
      <c r="G785" s="192"/>
      <c r="H785" s="170"/>
      <c r="I785" s="192"/>
      <c r="J785" s="193"/>
      <c r="K785" s="192"/>
      <c r="L785" s="192"/>
      <c r="M785" s="175"/>
    </row>
    <row r="786" spans="2:13" x14ac:dyDescent="0.2">
      <c r="B786" s="192"/>
      <c r="C786" s="193"/>
      <c r="D786" s="192"/>
      <c r="E786" s="192"/>
      <c r="F786" s="192"/>
      <c r="G786" s="192"/>
      <c r="H786" s="170"/>
      <c r="I786" s="192"/>
      <c r="J786" s="193"/>
      <c r="K786" s="192"/>
      <c r="L786" s="192"/>
      <c r="M786" s="175"/>
    </row>
    <row r="787" spans="2:13" x14ac:dyDescent="0.2">
      <c r="B787" s="192"/>
      <c r="C787" s="193"/>
      <c r="D787" s="192"/>
      <c r="E787" s="192"/>
      <c r="F787" s="192"/>
      <c r="G787" s="192"/>
      <c r="H787" s="170"/>
      <c r="I787" s="192"/>
      <c r="J787" s="193"/>
      <c r="K787" s="192"/>
      <c r="L787" s="192"/>
      <c r="M787" s="175"/>
    </row>
    <row r="788" spans="2:13" x14ac:dyDescent="0.2">
      <c r="B788" s="192"/>
      <c r="C788" s="193"/>
      <c r="D788" s="192"/>
      <c r="E788" s="192"/>
      <c r="F788" s="192"/>
      <c r="G788" s="192"/>
      <c r="H788" s="170"/>
      <c r="I788" s="192"/>
      <c r="J788" s="193"/>
      <c r="K788" s="192"/>
      <c r="L788" s="192"/>
      <c r="M788" s="175"/>
    </row>
    <row r="789" spans="2:13" x14ac:dyDescent="0.2">
      <c r="B789" s="192"/>
      <c r="C789" s="193"/>
      <c r="D789" s="192"/>
      <c r="E789" s="192"/>
      <c r="F789" s="192"/>
      <c r="G789" s="192"/>
      <c r="H789" s="170"/>
      <c r="I789" s="192"/>
      <c r="J789" s="193"/>
      <c r="K789" s="192"/>
      <c r="L789" s="192"/>
      <c r="M789" s="175"/>
    </row>
    <row r="790" spans="2:13" x14ac:dyDescent="0.2">
      <c r="B790" s="192"/>
      <c r="C790" s="193"/>
      <c r="D790" s="192"/>
      <c r="E790" s="192"/>
      <c r="F790" s="192"/>
      <c r="G790" s="192"/>
      <c r="H790" s="170"/>
      <c r="I790" s="192"/>
      <c r="J790" s="193"/>
      <c r="K790" s="192"/>
      <c r="L790" s="192"/>
      <c r="M790" s="175"/>
    </row>
    <row r="791" spans="2:13" x14ac:dyDescent="0.2">
      <c r="B791" s="192"/>
      <c r="C791" s="193"/>
      <c r="D791" s="192"/>
      <c r="E791" s="192"/>
      <c r="F791" s="192"/>
      <c r="G791" s="192"/>
      <c r="H791" s="170"/>
      <c r="I791" s="192"/>
      <c r="J791" s="193"/>
      <c r="K791" s="192"/>
      <c r="L791" s="192"/>
      <c r="M791" s="175"/>
    </row>
    <row r="792" spans="2:13" x14ac:dyDescent="0.2">
      <c r="B792" s="192"/>
      <c r="C792" s="193"/>
      <c r="D792" s="192"/>
      <c r="E792" s="192"/>
      <c r="F792" s="192"/>
      <c r="G792" s="192"/>
      <c r="H792" s="170"/>
      <c r="I792" s="192"/>
      <c r="J792" s="193"/>
      <c r="K792" s="192"/>
      <c r="L792" s="192"/>
      <c r="M792" s="175"/>
    </row>
    <row r="793" spans="2:13" x14ac:dyDescent="0.2">
      <c r="B793" s="192"/>
      <c r="C793" s="193"/>
      <c r="D793" s="192"/>
      <c r="E793" s="192"/>
      <c r="F793" s="192"/>
      <c r="G793" s="192"/>
      <c r="H793" s="170"/>
      <c r="I793" s="192"/>
      <c r="J793" s="193"/>
      <c r="K793" s="192"/>
      <c r="L793" s="192"/>
      <c r="M793" s="175"/>
    </row>
    <row r="794" spans="2:13" x14ac:dyDescent="0.2">
      <c r="B794" s="192"/>
      <c r="C794" s="193"/>
      <c r="D794" s="192"/>
      <c r="E794" s="192"/>
      <c r="F794" s="192"/>
      <c r="G794" s="192"/>
      <c r="H794" s="170"/>
      <c r="I794" s="192"/>
      <c r="J794" s="193"/>
      <c r="K794" s="192"/>
      <c r="L794" s="192"/>
      <c r="M794" s="175"/>
    </row>
    <row r="795" spans="2:13" x14ac:dyDescent="0.2">
      <c r="B795" s="192"/>
      <c r="C795" s="193"/>
      <c r="D795" s="192"/>
      <c r="E795" s="192"/>
      <c r="F795" s="192"/>
      <c r="G795" s="192"/>
      <c r="H795" s="170"/>
      <c r="I795" s="192"/>
      <c r="J795" s="193"/>
      <c r="K795" s="192"/>
      <c r="L795" s="192"/>
      <c r="M795" s="175"/>
    </row>
    <row r="796" spans="2:13" x14ac:dyDescent="0.2">
      <c r="B796" s="192"/>
      <c r="C796" s="193"/>
      <c r="D796" s="192"/>
      <c r="E796" s="192"/>
      <c r="F796" s="192"/>
      <c r="G796" s="192"/>
      <c r="H796" s="170"/>
      <c r="I796" s="192"/>
      <c r="J796" s="193"/>
      <c r="K796" s="192"/>
      <c r="L796" s="192"/>
      <c r="M796" s="175"/>
    </row>
    <row r="797" spans="2:13" x14ac:dyDescent="0.2">
      <c r="B797" s="192"/>
      <c r="C797" s="193"/>
      <c r="D797" s="192"/>
      <c r="E797" s="192"/>
      <c r="F797" s="192"/>
      <c r="G797" s="192"/>
      <c r="H797" s="170"/>
      <c r="I797" s="192"/>
      <c r="J797" s="193"/>
      <c r="K797" s="192"/>
      <c r="L797" s="192"/>
      <c r="M797" s="175"/>
    </row>
    <row r="798" spans="2:13" x14ac:dyDescent="0.2">
      <c r="B798" s="192"/>
      <c r="C798" s="193"/>
      <c r="D798" s="192"/>
      <c r="E798" s="192"/>
      <c r="F798" s="192"/>
      <c r="G798" s="192"/>
      <c r="H798" s="170"/>
      <c r="I798" s="192"/>
      <c r="J798" s="193"/>
      <c r="K798" s="192"/>
      <c r="L798" s="192"/>
      <c r="M798" s="175"/>
    </row>
    <row r="799" spans="2:13" x14ac:dyDescent="0.2">
      <c r="B799" s="192"/>
      <c r="C799" s="193"/>
      <c r="D799" s="192"/>
      <c r="E799" s="192"/>
      <c r="F799" s="192"/>
      <c r="G799" s="192"/>
      <c r="H799" s="170"/>
      <c r="I799" s="192"/>
      <c r="J799" s="193"/>
      <c r="K799" s="192"/>
      <c r="L799" s="192"/>
      <c r="M799" s="175"/>
    </row>
    <row r="800" spans="2:13" x14ac:dyDescent="0.2">
      <c r="B800" s="192"/>
      <c r="C800" s="193"/>
      <c r="D800" s="192"/>
      <c r="E800" s="192"/>
      <c r="F800" s="192"/>
      <c r="G800" s="192"/>
      <c r="H800" s="170"/>
      <c r="I800" s="192"/>
      <c r="J800" s="193"/>
      <c r="K800" s="192"/>
      <c r="L800" s="192"/>
      <c r="M800" s="175"/>
    </row>
    <row r="801" spans="2:13" x14ac:dyDescent="0.2">
      <c r="B801" s="192"/>
      <c r="C801" s="193"/>
      <c r="D801" s="192"/>
      <c r="E801" s="192"/>
      <c r="F801" s="192"/>
      <c r="G801" s="192"/>
      <c r="H801" s="170"/>
      <c r="I801" s="192"/>
      <c r="J801" s="193"/>
      <c r="K801" s="192"/>
      <c r="L801" s="192"/>
      <c r="M801" s="175"/>
    </row>
    <row r="802" spans="2:13" x14ac:dyDescent="0.2">
      <c r="B802" s="192"/>
      <c r="C802" s="193"/>
      <c r="D802" s="192"/>
      <c r="E802" s="192"/>
      <c r="F802" s="192"/>
      <c r="G802" s="192"/>
      <c r="H802" s="170"/>
      <c r="I802" s="192"/>
      <c r="J802" s="193"/>
      <c r="K802" s="192"/>
      <c r="L802" s="192"/>
      <c r="M802" s="175"/>
    </row>
    <row r="803" spans="2:13" x14ac:dyDescent="0.2">
      <c r="B803" s="192"/>
      <c r="C803" s="193"/>
      <c r="D803" s="192"/>
      <c r="E803" s="192"/>
      <c r="F803" s="192"/>
      <c r="G803" s="192"/>
      <c r="H803" s="170"/>
      <c r="I803" s="192"/>
      <c r="J803" s="193"/>
      <c r="K803" s="192"/>
      <c r="L803" s="192"/>
      <c r="M803" s="175"/>
    </row>
    <row r="804" spans="2:13" x14ac:dyDescent="0.2">
      <c r="B804" s="192"/>
      <c r="C804" s="193"/>
      <c r="D804" s="192"/>
      <c r="E804" s="192"/>
      <c r="F804" s="192"/>
      <c r="G804" s="192"/>
      <c r="H804" s="170"/>
      <c r="I804" s="192"/>
      <c r="J804" s="193"/>
      <c r="K804" s="192"/>
      <c r="L804" s="192"/>
      <c r="M804" s="175"/>
    </row>
    <row r="805" spans="2:13" x14ac:dyDescent="0.2">
      <c r="B805" s="192"/>
      <c r="C805" s="193"/>
      <c r="D805" s="192"/>
      <c r="E805" s="192"/>
      <c r="F805" s="192"/>
      <c r="G805" s="192"/>
      <c r="H805" s="170"/>
      <c r="I805" s="192"/>
      <c r="J805" s="193"/>
      <c r="K805" s="192"/>
      <c r="L805" s="192"/>
      <c r="M805" s="175"/>
    </row>
    <row r="806" spans="2:13" x14ac:dyDescent="0.2">
      <c r="B806" s="192"/>
      <c r="C806" s="193"/>
      <c r="D806" s="192"/>
      <c r="E806" s="192"/>
      <c r="F806" s="192"/>
      <c r="G806" s="192"/>
      <c r="H806" s="170"/>
      <c r="I806" s="192"/>
      <c r="J806" s="193"/>
      <c r="K806" s="192"/>
      <c r="L806" s="192"/>
      <c r="M806" s="175"/>
    </row>
    <row r="807" spans="2:13" x14ac:dyDescent="0.2">
      <c r="B807" s="192"/>
      <c r="C807" s="193"/>
      <c r="D807" s="192"/>
      <c r="E807" s="192"/>
      <c r="F807" s="192"/>
      <c r="G807" s="192"/>
      <c r="H807" s="170"/>
      <c r="I807" s="192"/>
      <c r="J807" s="193"/>
      <c r="K807" s="192"/>
      <c r="L807" s="192"/>
      <c r="M807" s="175"/>
    </row>
    <row r="808" spans="2:13" x14ac:dyDescent="0.2">
      <c r="B808" s="192"/>
      <c r="C808" s="193"/>
      <c r="D808" s="192"/>
      <c r="E808" s="192"/>
      <c r="F808" s="192"/>
      <c r="G808" s="192"/>
      <c r="H808" s="170"/>
      <c r="I808" s="192"/>
      <c r="J808" s="193"/>
      <c r="K808" s="192"/>
      <c r="L808" s="192"/>
      <c r="M808" s="175"/>
    </row>
    <row r="809" spans="2:13" x14ac:dyDescent="0.2">
      <c r="B809" s="192"/>
      <c r="C809" s="193"/>
      <c r="D809" s="192"/>
      <c r="E809" s="192"/>
      <c r="F809" s="192"/>
      <c r="G809" s="192"/>
      <c r="H809" s="170"/>
      <c r="I809" s="192"/>
      <c r="J809" s="193"/>
      <c r="K809" s="192"/>
      <c r="L809" s="192"/>
      <c r="M809" s="175"/>
    </row>
    <row r="810" spans="2:13" x14ac:dyDescent="0.2">
      <c r="B810" s="192"/>
      <c r="C810" s="193"/>
      <c r="D810" s="192"/>
      <c r="E810" s="192"/>
      <c r="F810" s="192"/>
      <c r="G810" s="192"/>
      <c r="H810" s="170"/>
      <c r="I810" s="192"/>
      <c r="J810" s="193"/>
      <c r="K810" s="192"/>
      <c r="L810" s="192"/>
      <c r="M810" s="175"/>
    </row>
    <row r="811" spans="2:13" x14ac:dyDescent="0.2">
      <c r="B811" s="192"/>
      <c r="C811" s="193"/>
      <c r="D811" s="192"/>
      <c r="E811" s="192"/>
      <c r="F811" s="192"/>
      <c r="G811" s="192"/>
      <c r="H811" s="170"/>
      <c r="I811" s="192"/>
      <c r="J811" s="193"/>
      <c r="K811" s="192"/>
      <c r="L811" s="192"/>
      <c r="M811" s="175"/>
    </row>
    <row r="812" spans="2:13" x14ac:dyDescent="0.2">
      <c r="B812" s="192"/>
      <c r="C812" s="193"/>
      <c r="D812" s="192"/>
      <c r="E812" s="192"/>
      <c r="F812" s="192"/>
      <c r="G812" s="192"/>
      <c r="H812" s="170"/>
      <c r="I812" s="192"/>
      <c r="J812" s="193"/>
      <c r="K812" s="192"/>
      <c r="L812" s="192"/>
      <c r="M812" s="175"/>
    </row>
    <row r="813" spans="2:13" x14ac:dyDescent="0.2">
      <c r="B813" s="192"/>
      <c r="C813" s="193"/>
      <c r="D813" s="192"/>
      <c r="E813" s="192"/>
      <c r="F813" s="192"/>
      <c r="G813" s="192"/>
      <c r="H813" s="170"/>
      <c r="I813" s="192"/>
      <c r="J813" s="193"/>
      <c r="K813" s="192"/>
      <c r="L813" s="192"/>
      <c r="M813" s="175"/>
    </row>
    <row r="814" spans="2:13" x14ac:dyDescent="0.2">
      <c r="B814" s="192"/>
      <c r="C814" s="193"/>
      <c r="D814" s="192"/>
      <c r="E814" s="192"/>
      <c r="F814" s="192"/>
      <c r="G814" s="192"/>
      <c r="H814" s="170"/>
      <c r="I814" s="192"/>
      <c r="J814" s="193"/>
      <c r="K814" s="192"/>
      <c r="L814" s="192"/>
      <c r="M814" s="175"/>
    </row>
    <row r="815" spans="2:13" x14ac:dyDescent="0.2">
      <c r="B815" s="192"/>
      <c r="C815" s="193"/>
      <c r="D815" s="192"/>
      <c r="E815" s="192"/>
      <c r="F815" s="192"/>
      <c r="G815" s="192"/>
      <c r="H815" s="170"/>
      <c r="I815" s="192"/>
      <c r="J815" s="193"/>
      <c r="K815" s="192"/>
      <c r="L815" s="192"/>
      <c r="M815" s="175"/>
    </row>
    <row r="816" spans="2:13" x14ac:dyDescent="0.2">
      <c r="B816" s="192"/>
      <c r="C816" s="193"/>
      <c r="D816" s="192"/>
      <c r="E816" s="192"/>
      <c r="F816" s="192"/>
      <c r="G816" s="192"/>
      <c r="H816" s="170"/>
      <c r="I816" s="192"/>
      <c r="J816" s="193"/>
      <c r="K816" s="192"/>
      <c r="L816" s="192"/>
      <c r="M816" s="175"/>
    </row>
    <row r="817" spans="2:13" x14ac:dyDescent="0.2">
      <c r="B817" s="192"/>
      <c r="C817" s="193"/>
      <c r="D817" s="192"/>
      <c r="E817" s="192"/>
      <c r="F817" s="192"/>
      <c r="G817" s="192"/>
      <c r="H817" s="170"/>
      <c r="I817" s="192"/>
      <c r="J817" s="193"/>
      <c r="K817" s="192"/>
      <c r="L817" s="192"/>
      <c r="M817" s="175"/>
    </row>
    <row r="818" spans="2:13" x14ac:dyDescent="0.2">
      <c r="B818" s="192"/>
      <c r="C818" s="193"/>
      <c r="D818" s="192"/>
      <c r="E818" s="192"/>
      <c r="F818" s="192"/>
      <c r="G818" s="192"/>
      <c r="H818" s="170"/>
      <c r="I818" s="192"/>
      <c r="J818" s="193"/>
      <c r="K818" s="192"/>
      <c r="L818" s="192"/>
      <c r="M818" s="175"/>
    </row>
    <row r="819" spans="2:13" x14ac:dyDescent="0.2">
      <c r="B819" s="192"/>
      <c r="C819" s="193"/>
      <c r="D819" s="192"/>
      <c r="E819" s="192"/>
      <c r="F819" s="192"/>
      <c r="G819" s="192"/>
      <c r="H819" s="170"/>
      <c r="I819" s="192"/>
      <c r="J819" s="193"/>
      <c r="K819" s="192"/>
      <c r="L819" s="192"/>
      <c r="M819" s="175"/>
    </row>
    <row r="820" spans="2:13" x14ac:dyDescent="0.2">
      <c r="B820" s="192"/>
      <c r="C820" s="193"/>
      <c r="D820" s="192"/>
      <c r="E820" s="192"/>
      <c r="F820" s="192"/>
      <c r="G820" s="192"/>
      <c r="H820" s="170"/>
      <c r="I820" s="192"/>
      <c r="J820" s="193"/>
      <c r="K820" s="192"/>
      <c r="L820" s="192"/>
      <c r="M820" s="175"/>
    </row>
    <row r="821" spans="2:13" x14ac:dyDescent="0.2">
      <c r="B821" s="192"/>
      <c r="C821" s="193"/>
      <c r="D821" s="192"/>
      <c r="E821" s="192"/>
      <c r="F821" s="192"/>
      <c r="G821" s="192"/>
      <c r="H821" s="170"/>
      <c r="I821" s="192"/>
      <c r="J821" s="193"/>
      <c r="K821" s="192"/>
      <c r="L821" s="192"/>
      <c r="M821" s="175"/>
    </row>
    <row r="822" spans="2:13" x14ac:dyDescent="0.2">
      <c r="B822" s="192"/>
      <c r="C822" s="193"/>
      <c r="D822" s="192"/>
      <c r="E822" s="192"/>
      <c r="F822" s="192"/>
      <c r="G822" s="192"/>
      <c r="H822" s="170"/>
      <c r="I822" s="192"/>
      <c r="J822" s="193"/>
      <c r="K822" s="192"/>
      <c r="L822" s="192"/>
      <c r="M822" s="175"/>
    </row>
    <row r="823" spans="2:13" x14ac:dyDescent="0.2">
      <c r="B823" s="192"/>
      <c r="C823" s="193"/>
      <c r="D823" s="192"/>
      <c r="E823" s="192"/>
      <c r="F823" s="192"/>
      <c r="G823" s="192"/>
      <c r="H823" s="170"/>
      <c r="I823" s="192"/>
      <c r="J823" s="193"/>
      <c r="K823" s="192"/>
      <c r="L823" s="192"/>
      <c r="M823" s="175"/>
    </row>
    <row r="824" spans="2:13" x14ac:dyDescent="0.2">
      <c r="B824" s="192"/>
      <c r="C824" s="193"/>
      <c r="D824" s="192"/>
      <c r="E824" s="192"/>
      <c r="F824" s="192"/>
      <c r="G824" s="192"/>
      <c r="H824" s="170"/>
      <c r="I824" s="192"/>
      <c r="J824" s="193"/>
      <c r="K824" s="192"/>
      <c r="L824" s="192"/>
      <c r="M824" s="175"/>
    </row>
    <row r="825" spans="2:13" x14ac:dyDescent="0.2">
      <c r="B825" s="192"/>
      <c r="C825" s="193"/>
      <c r="D825" s="192"/>
      <c r="E825" s="192"/>
      <c r="F825" s="192"/>
      <c r="G825" s="192"/>
      <c r="H825" s="170"/>
      <c r="I825" s="192"/>
      <c r="J825" s="193"/>
      <c r="K825" s="192"/>
      <c r="L825" s="192"/>
      <c r="M825" s="175"/>
    </row>
    <row r="826" spans="2:13" x14ac:dyDescent="0.2">
      <c r="B826" s="192"/>
      <c r="C826" s="193"/>
      <c r="D826" s="192"/>
      <c r="E826" s="192"/>
      <c r="F826" s="192"/>
      <c r="G826" s="192"/>
      <c r="H826" s="170"/>
      <c r="I826" s="192"/>
      <c r="J826" s="193"/>
      <c r="K826" s="192"/>
      <c r="L826" s="192"/>
      <c r="M826" s="175"/>
    </row>
    <row r="827" spans="2:13" x14ac:dyDescent="0.2">
      <c r="B827" s="192"/>
      <c r="C827" s="193"/>
      <c r="D827" s="192"/>
      <c r="E827" s="192"/>
      <c r="F827" s="192"/>
      <c r="G827" s="192"/>
      <c r="H827" s="170"/>
      <c r="I827" s="192"/>
      <c r="J827" s="193"/>
      <c r="K827" s="192"/>
      <c r="L827" s="192"/>
      <c r="M827" s="175"/>
    </row>
    <row r="828" spans="2:13" x14ac:dyDescent="0.2">
      <c r="B828" s="192"/>
      <c r="C828" s="193"/>
      <c r="D828" s="192"/>
      <c r="E828" s="192"/>
      <c r="F828" s="192"/>
      <c r="G828" s="192"/>
      <c r="H828" s="170"/>
      <c r="I828" s="192"/>
      <c r="J828" s="193"/>
      <c r="K828" s="192"/>
      <c r="L828" s="192"/>
      <c r="M828" s="175"/>
    </row>
    <row r="829" spans="2:13" x14ac:dyDescent="0.2">
      <c r="B829" s="192"/>
      <c r="C829" s="193"/>
      <c r="D829" s="192"/>
      <c r="E829" s="192"/>
      <c r="F829" s="192"/>
      <c r="G829" s="192"/>
      <c r="H829" s="170"/>
      <c r="I829" s="192"/>
      <c r="J829" s="193"/>
      <c r="K829" s="192"/>
      <c r="L829" s="192"/>
      <c r="M829" s="175"/>
    </row>
    <row r="830" spans="2:13" x14ac:dyDescent="0.2">
      <c r="B830" s="192"/>
      <c r="C830" s="193"/>
      <c r="D830" s="192"/>
      <c r="E830" s="192"/>
      <c r="F830" s="192"/>
      <c r="G830" s="192"/>
      <c r="H830" s="170"/>
      <c r="I830" s="192"/>
      <c r="J830" s="193"/>
      <c r="K830" s="192"/>
      <c r="L830" s="192"/>
      <c r="M830" s="175"/>
    </row>
    <row r="831" spans="2:13" x14ac:dyDescent="0.2">
      <c r="B831" s="192"/>
      <c r="C831" s="193"/>
      <c r="D831" s="192"/>
      <c r="E831" s="192"/>
      <c r="F831" s="192"/>
      <c r="G831" s="192"/>
      <c r="H831" s="170"/>
      <c r="I831" s="192"/>
      <c r="J831" s="193"/>
      <c r="K831" s="192"/>
      <c r="L831" s="192"/>
      <c r="M831" s="175"/>
    </row>
    <row r="832" spans="2:13" x14ac:dyDescent="0.2">
      <c r="B832" s="192"/>
      <c r="C832" s="193"/>
      <c r="D832" s="192"/>
      <c r="E832" s="192"/>
      <c r="F832" s="192"/>
      <c r="G832" s="192"/>
      <c r="H832" s="170"/>
      <c r="I832" s="192"/>
      <c r="J832" s="193"/>
      <c r="K832" s="192"/>
      <c r="L832" s="192"/>
      <c r="M832" s="175"/>
    </row>
    <row r="833" spans="2:13" x14ac:dyDescent="0.2">
      <c r="B833" s="192"/>
      <c r="C833" s="193"/>
      <c r="D833" s="192"/>
      <c r="E833" s="192"/>
      <c r="F833" s="192"/>
      <c r="G833" s="192"/>
      <c r="H833" s="170"/>
      <c r="I833" s="192"/>
      <c r="J833" s="193"/>
      <c r="K833" s="192"/>
      <c r="L833" s="192"/>
      <c r="M833" s="175"/>
    </row>
    <row r="834" spans="2:13" x14ac:dyDescent="0.2">
      <c r="B834" s="192"/>
      <c r="C834" s="193"/>
      <c r="D834" s="192"/>
      <c r="E834" s="192"/>
      <c r="F834" s="192"/>
      <c r="G834" s="192"/>
      <c r="H834" s="170"/>
      <c r="I834" s="192"/>
      <c r="J834" s="193"/>
      <c r="K834" s="192"/>
      <c r="L834" s="192"/>
      <c r="M834" s="175"/>
    </row>
    <row r="835" spans="2:13" x14ac:dyDescent="0.2">
      <c r="B835" s="192"/>
      <c r="C835" s="193"/>
      <c r="D835" s="192"/>
      <c r="E835" s="192"/>
      <c r="F835" s="192"/>
      <c r="G835" s="192"/>
      <c r="H835" s="170"/>
      <c r="I835" s="192"/>
      <c r="J835" s="193"/>
      <c r="K835" s="192"/>
      <c r="L835" s="192"/>
      <c r="M835" s="175"/>
    </row>
    <row r="836" spans="2:13" x14ac:dyDescent="0.2">
      <c r="B836" s="192"/>
      <c r="C836" s="193"/>
      <c r="D836" s="192"/>
      <c r="E836" s="192"/>
      <c r="F836" s="192"/>
      <c r="G836" s="192"/>
      <c r="H836" s="170"/>
      <c r="I836" s="192"/>
      <c r="J836" s="193"/>
      <c r="K836" s="192"/>
      <c r="L836" s="192"/>
      <c r="M836" s="175"/>
    </row>
    <row r="837" spans="2:13" x14ac:dyDescent="0.2">
      <c r="B837" s="192"/>
      <c r="C837" s="193"/>
      <c r="D837" s="192"/>
      <c r="E837" s="192"/>
      <c r="F837" s="192"/>
      <c r="G837" s="192"/>
      <c r="H837" s="170"/>
      <c r="I837" s="192"/>
      <c r="J837" s="193"/>
      <c r="K837" s="192"/>
      <c r="L837" s="192"/>
      <c r="M837" s="175"/>
    </row>
    <row r="838" spans="2:13" x14ac:dyDescent="0.2">
      <c r="B838" s="192"/>
      <c r="C838" s="193"/>
      <c r="D838" s="192"/>
      <c r="E838" s="192"/>
      <c r="F838" s="192"/>
      <c r="G838" s="192"/>
      <c r="H838" s="170"/>
      <c r="I838" s="192"/>
      <c r="J838" s="193"/>
      <c r="K838" s="192"/>
      <c r="L838" s="192"/>
      <c r="M838" s="175"/>
    </row>
    <row r="839" spans="2:13" x14ac:dyDescent="0.2">
      <c r="B839" s="192"/>
      <c r="C839" s="193"/>
      <c r="D839" s="192"/>
      <c r="E839" s="192"/>
      <c r="F839" s="192"/>
      <c r="G839" s="192"/>
      <c r="H839" s="170"/>
      <c r="I839" s="192"/>
      <c r="J839" s="193"/>
      <c r="K839" s="192"/>
      <c r="L839" s="192"/>
      <c r="M839" s="175"/>
    </row>
    <row r="840" spans="2:13" x14ac:dyDescent="0.2">
      <c r="B840" s="192"/>
      <c r="C840" s="193"/>
      <c r="D840" s="192"/>
      <c r="E840" s="192"/>
      <c r="F840" s="192"/>
      <c r="G840" s="192"/>
      <c r="H840" s="170"/>
      <c r="I840" s="192"/>
      <c r="J840" s="193"/>
      <c r="K840" s="192"/>
      <c r="L840" s="192"/>
      <c r="M840" s="175"/>
    </row>
    <row r="841" spans="2:13" x14ac:dyDescent="0.2">
      <c r="B841" s="192"/>
      <c r="C841" s="193"/>
      <c r="D841" s="192"/>
      <c r="E841" s="192"/>
      <c r="F841" s="192"/>
      <c r="G841" s="192"/>
      <c r="H841" s="170"/>
      <c r="I841" s="192"/>
      <c r="J841" s="193"/>
      <c r="K841" s="192"/>
      <c r="L841" s="192"/>
      <c r="M841" s="175"/>
    </row>
    <row r="842" spans="2:13" x14ac:dyDescent="0.2">
      <c r="B842" s="192"/>
      <c r="C842" s="193"/>
      <c r="D842" s="192"/>
      <c r="E842" s="192"/>
      <c r="F842" s="192"/>
      <c r="G842" s="192"/>
      <c r="H842" s="170"/>
      <c r="I842" s="192"/>
      <c r="J842" s="193"/>
      <c r="K842" s="192"/>
      <c r="L842" s="192"/>
      <c r="M842" s="175"/>
    </row>
    <row r="843" spans="2:13" x14ac:dyDescent="0.2">
      <c r="B843" s="192"/>
      <c r="C843" s="193"/>
      <c r="D843" s="192"/>
      <c r="E843" s="192"/>
      <c r="F843" s="192"/>
      <c r="G843" s="192"/>
      <c r="H843" s="170"/>
      <c r="I843" s="192"/>
      <c r="J843" s="193"/>
      <c r="K843" s="192"/>
      <c r="L843" s="192"/>
      <c r="M843" s="175"/>
    </row>
    <row r="844" spans="2:13" x14ac:dyDescent="0.2">
      <c r="B844" s="192"/>
      <c r="C844" s="193"/>
      <c r="D844" s="192"/>
      <c r="E844" s="192"/>
      <c r="F844" s="192"/>
      <c r="G844" s="192"/>
      <c r="H844" s="170"/>
      <c r="I844" s="192"/>
      <c r="J844" s="193"/>
      <c r="K844" s="192"/>
      <c r="L844" s="192"/>
      <c r="M844" s="175"/>
    </row>
    <row r="845" spans="2:13" x14ac:dyDescent="0.2">
      <c r="B845" s="192"/>
      <c r="C845" s="193"/>
      <c r="D845" s="192"/>
      <c r="E845" s="192"/>
      <c r="F845" s="192"/>
      <c r="G845" s="192"/>
      <c r="H845" s="170"/>
      <c r="I845" s="192"/>
      <c r="J845" s="193"/>
      <c r="K845" s="192"/>
      <c r="L845" s="192"/>
      <c r="M845" s="175"/>
    </row>
    <row r="846" spans="2:13" x14ac:dyDescent="0.2">
      <c r="B846" s="192"/>
      <c r="C846" s="193"/>
      <c r="D846" s="192"/>
      <c r="E846" s="192"/>
      <c r="F846" s="192"/>
      <c r="G846" s="192"/>
      <c r="H846" s="170"/>
      <c r="I846" s="192"/>
      <c r="J846" s="193"/>
      <c r="K846" s="192"/>
      <c r="L846" s="192"/>
      <c r="M846" s="175"/>
    </row>
    <row r="847" spans="2:13" x14ac:dyDescent="0.2">
      <c r="B847" s="192"/>
      <c r="C847" s="193"/>
      <c r="D847" s="192"/>
      <c r="E847" s="192"/>
      <c r="F847" s="192"/>
      <c r="G847" s="192"/>
      <c r="H847" s="170"/>
      <c r="I847" s="192"/>
      <c r="J847" s="193"/>
      <c r="K847" s="192"/>
      <c r="L847" s="192"/>
      <c r="M847" s="175"/>
    </row>
    <row r="848" spans="2:13" x14ac:dyDescent="0.2">
      <c r="B848" s="192"/>
      <c r="C848" s="193"/>
      <c r="D848" s="192"/>
      <c r="E848" s="192"/>
      <c r="F848" s="192"/>
      <c r="G848" s="192"/>
      <c r="H848" s="170"/>
      <c r="I848" s="192"/>
      <c r="J848" s="193"/>
      <c r="K848" s="192"/>
      <c r="L848" s="192"/>
      <c r="M848" s="175"/>
    </row>
    <row r="849" spans="2:13" x14ac:dyDescent="0.2">
      <c r="B849" s="192"/>
      <c r="C849" s="193"/>
      <c r="D849" s="192"/>
      <c r="E849" s="192"/>
      <c r="F849" s="192"/>
      <c r="G849" s="192"/>
      <c r="H849" s="170"/>
      <c r="I849" s="192"/>
      <c r="J849" s="193"/>
      <c r="K849" s="192"/>
      <c r="L849" s="192"/>
      <c r="M849" s="175"/>
    </row>
    <row r="850" spans="2:13" x14ac:dyDescent="0.2">
      <c r="B850" s="192"/>
      <c r="C850" s="193"/>
      <c r="D850" s="192"/>
      <c r="E850" s="192"/>
      <c r="F850" s="192"/>
      <c r="G850" s="192"/>
      <c r="H850" s="170"/>
      <c r="I850" s="192"/>
      <c r="J850" s="193"/>
      <c r="K850" s="192"/>
      <c r="L850" s="192"/>
      <c r="M850" s="175"/>
    </row>
    <row r="851" spans="2:13" x14ac:dyDescent="0.2">
      <c r="B851" s="192"/>
      <c r="C851" s="193"/>
      <c r="D851" s="192"/>
      <c r="E851" s="192"/>
      <c r="F851" s="192"/>
      <c r="G851" s="192"/>
      <c r="H851" s="170"/>
      <c r="I851" s="192"/>
      <c r="J851" s="193"/>
      <c r="K851" s="192"/>
      <c r="L851" s="192"/>
      <c r="M851" s="175"/>
    </row>
    <row r="852" spans="2:13" x14ac:dyDescent="0.2">
      <c r="B852" s="192"/>
      <c r="C852" s="193"/>
      <c r="D852" s="192"/>
      <c r="E852" s="192"/>
      <c r="F852" s="192"/>
      <c r="G852" s="192"/>
      <c r="H852" s="170"/>
      <c r="I852" s="192"/>
      <c r="J852" s="193"/>
      <c r="K852" s="192"/>
      <c r="L852" s="192"/>
      <c r="M852" s="175"/>
    </row>
    <row r="853" spans="2:13" x14ac:dyDescent="0.2">
      <c r="B853" s="192"/>
      <c r="C853" s="193"/>
      <c r="D853" s="192"/>
      <c r="E853" s="192"/>
      <c r="F853" s="192"/>
      <c r="G853" s="192"/>
      <c r="H853" s="170"/>
      <c r="I853" s="192"/>
      <c r="J853" s="193"/>
      <c r="K853" s="192"/>
      <c r="L853" s="192"/>
      <c r="M853" s="175"/>
    </row>
    <row r="854" spans="2:13" x14ac:dyDescent="0.2">
      <c r="B854" s="192"/>
      <c r="C854" s="193"/>
      <c r="D854" s="192"/>
      <c r="E854" s="192"/>
      <c r="F854" s="192"/>
      <c r="G854" s="192"/>
      <c r="H854" s="170"/>
      <c r="I854" s="192"/>
      <c r="J854" s="193"/>
      <c r="K854" s="192"/>
      <c r="L854" s="192"/>
      <c r="M854" s="175"/>
    </row>
    <row r="855" spans="2:13" x14ac:dyDescent="0.2">
      <c r="B855" s="192"/>
      <c r="C855" s="193"/>
      <c r="D855" s="192"/>
      <c r="E855" s="192"/>
      <c r="F855" s="192"/>
      <c r="G855" s="192"/>
      <c r="H855" s="170"/>
      <c r="I855" s="192"/>
      <c r="J855" s="193"/>
      <c r="K855" s="192"/>
      <c r="L855" s="192"/>
      <c r="M855" s="175"/>
    </row>
    <row r="856" spans="2:13" x14ac:dyDescent="0.2">
      <c r="B856" s="192"/>
      <c r="C856" s="193"/>
      <c r="D856" s="192"/>
      <c r="E856" s="192"/>
      <c r="F856" s="192"/>
      <c r="G856" s="192"/>
      <c r="H856" s="170"/>
      <c r="I856" s="192"/>
      <c r="J856" s="193"/>
      <c r="K856" s="192"/>
      <c r="L856" s="192"/>
      <c r="M856" s="175"/>
    </row>
    <row r="857" spans="2:13" x14ac:dyDescent="0.2">
      <c r="B857" s="192"/>
      <c r="C857" s="193"/>
      <c r="D857" s="192"/>
      <c r="E857" s="192"/>
      <c r="F857" s="192"/>
      <c r="G857" s="192"/>
      <c r="H857" s="170"/>
      <c r="I857" s="192"/>
      <c r="J857" s="193"/>
      <c r="K857" s="192"/>
      <c r="L857" s="192"/>
      <c r="M857" s="175"/>
    </row>
    <row r="858" spans="2:13" x14ac:dyDescent="0.2">
      <c r="B858" s="192"/>
      <c r="C858" s="193"/>
      <c r="D858" s="192"/>
      <c r="E858" s="192"/>
      <c r="F858" s="192"/>
      <c r="G858" s="192"/>
      <c r="H858" s="170"/>
      <c r="I858" s="192"/>
      <c r="J858" s="193"/>
      <c r="K858" s="192"/>
      <c r="L858" s="192"/>
      <c r="M858" s="175"/>
    </row>
    <row r="859" spans="2:13" x14ac:dyDescent="0.2">
      <c r="B859" s="192"/>
      <c r="C859" s="193"/>
      <c r="D859" s="192"/>
      <c r="E859" s="192"/>
      <c r="F859" s="192"/>
      <c r="G859" s="192"/>
      <c r="H859" s="170"/>
      <c r="I859" s="192"/>
      <c r="J859" s="193"/>
      <c r="K859" s="192"/>
      <c r="L859" s="192"/>
      <c r="M859" s="175"/>
    </row>
    <row r="860" spans="2:13" x14ac:dyDescent="0.2">
      <c r="B860" s="192"/>
      <c r="C860" s="193"/>
      <c r="D860" s="192"/>
      <c r="E860" s="192"/>
      <c r="F860" s="192"/>
      <c r="G860" s="192"/>
      <c r="H860" s="170"/>
      <c r="I860" s="192"/>
      <c r="J860" s="193"/>
      <c r="K860" s="192"/>
      <c r="L860" s="192"/>
      <c r="M860" s="175"/>
    </row>
    <row r="861" spans="2:13" x14ac:dyDescent="0.2">
      <c r="B861" s="192"/>
      <c r="C861" s="193"/>
      <c r="D861" s="192"/>
      <c r="E861" s="192"/>
      <c r="F861" s="192"/>
      <c r="G861" s="192"/>
      <c r="H861" s="170"/>
      <c r="I861" s="192"/>
      <c r="J861" s="193"/>
      <c r="K861" s="192"/>
      <c r="L861" s="192"/>
      <c r="M861" s="175"/>
    </row>
    <row r="862" spans="2:13" x14ac:dyDescent="0.2">
      <c r="B862" s="192"/>
      <c r="C862" s="193"/>
      <c r="D862" s="192"/>
      <c r="E862" s="192"/>
      <c r="F862" s="192"/>
      <c r="G862" s="192"/>
      <c r="H862" s="170"/>
      <c r="I862" s="192"/>
      <c r="J862" s="193"/>
      <c r="K862" s="192"/>
      <c r="L862" s="192"/>
      <c r="M862" s="175"/>
    </row>
    <row r="863" spans="2:13" x14ac:dyDescent="0.2">
      <c r="B863" s="192"/>
      <c r="C863" s="193"/>
      <c r="D863" s="192"/>
      <c r="E863" s="192"/>
      <c r="F863" s="192"/>
      <c r="G863" s="192"/>
      <c r="H863" s="170"/>
      <c r="I863" s="192"/>
      <c r="J863" s="193"/>
      <c r="K863" s="192"/>
      <c r="L863" s="192"/>
      <c r="M863" s="175"/>
    </row>
    <row r="864" spans="2:13" x14ac:dyDescent="0.2">
      <c r="B864" s="192"/>
      <c r="C864" s="193"/>
      <c r="D864" s="192"/>
      <c r="E864" s="192"/>
      <c r="F864" s="192"/>
      <c r="G864" s="192"/>
      <c r="H864" s="170"/>
      <c r="I864" s="192"/>
      <c r="J864" s="193"/>
      <c r="K864" s="192"/>
      <c r="L864" s="192"/>
      <c r="M864" s="175"/>
    </row>
    <row r="865" spans="2:13" x14ac:dyDescent="0.2">
      <c r="B865" s="192"/>
      <c r="C865" s="193"/>
      <c r="D865" s="192"/>
      <c r="E865" s="192"/>
      <c r="F865" s="192"/>
      <c r="G865" s="192"/>
      <c r="H865" s="170"/>
      <c r="I865" s="192"/>
      <c r="J865" s="193"/>
      <c r="K865" s="192"/>
      <c r="L865" s="192"/>
      <c r="M865" s="175"/>
    </row>
    <row r="866" spans="2:13" x14ac:dyDescent="0.2">
      <c r="B866" s="192"/>
      <c r="C866" s="193"/>
      <c r="D866" s="192"/>
      <c r="E866" s="192"/>
      <c r="F866" s="192"/>
      <c r="G866" s="192"/>
      <c r="H866" s="170"/>
      <c r="I866" s="192"/>
      <c r="J866" s="193"/>
      <c r="K866" s="192"/>
      <c r="L866" s="192"/>
      <c r="M866" s="175"/>
    </row>
    <row r="867" spans="2:13" x14ac:dyDescent="0.2">
      <c r="B867" s="192"/>
      <c r="C867" s="193"/>
      <c r="D867" s="192"/>
      <c r="E867" s="192"/>
      <c r="F867" s="192"/>
      <c r="G867" s="192"/>
      <c r="H867" s="170"/>
      <c r="I867" s="192"/>
      <c r="J867" s="193"/>
      <c r="K867" s="192"/>
      <c r="L867" s="192"/>
      <c r="M867" s="175"/>
    </row>
    <row r="868" spans="2:13" x14ac:dyDescent="0.2">
      <c r="B868" s="192"/>
      <c r="C868" s="193"/>
      <c r="D868" s="192"/>
      <c r="E868" s="192"/>
      <c r="F868" s="192"/>
      <c r="G868" s="192"/>
      <c r="H868" s="170"/>
      <c r="I868" s="192"/>
      <c r="J868" s="193"/>
      <c r="K868" s="192"/>
      <c r="L868" s="192"/>
      <c r="M868" s="175"/>
    </row>
    <row r="869" spans="2:13" x14ac:dyDescent="0.2">
      <c r="B869" s="192"/>
      <c r="C869" s="193"/>
      <c r="D869" s="192"/>
      <c r="E869" s="192"/>
      <c r="F869" s="192"/>
      <c r="G869" s="192"/>
      <c r="H869" s="170"/>
      <c r="I869" s="192"/>
      <c r="J869" s="193"/>
      <c r="K869" s="192"/>
      <c r="L869" s="192"/>
      <c r="M869" s="175"/>
    </row>
    <row r="870" spans="2:13" x14ac:dyDescent="0.2">
      <c r="B870" s="192"/>
      <c r="C870" s="193"/>
      <c r="D870" s="192"/>
      <c r="E870" s="192"/>
      <c r="F870" s="192"/>
      <c r="G870" s="192"/>
      <c r="H870" s="170"/>
      <c r="I870" s="192"/>
      <c r="J870" s="193"/>
      <c r="K870" s="192"/>
      <c r="L870" s="192"/>
      <c r="M870" s="175"/>
    </row>
    <row r="871" spans="2:13" x14ac:dyDescent="0.2">
      <c r="B871" s="192"/>
      <c r="C871" s="193"/>
      <c r="D871" s="192"/>
      <c r="E871" s="192"/>
      <c r="F871" s="192"/>
      <c r="G871" s="192"/>
      <c r="H871" s="170"/>
      <c r="I871" s="192"/>
      <c r="J871" s="193"/>
      <c r="K871" s="192"/>
      <c r="L871" s="192"/>
      <c r="M871" s="175"/>
    </row>
    <row r="872" spans="2:13" x14ac:dyDescent="0.2">
      <c r="B872" s="192"/>
      <c r="C872" s="193"/>
      <c r="D872" s="192"/>
      <c r="E872" s="192"/>
      <c r="F872" s="192"/>
      <c r="G872" s="192"/>
      <c r="H872" s="170"/>
      <c r="I872" s="192"/>
      <c r="J872" s="193"/>
      <c r="K872" s="192"/>
      <c r="L872" s="192"/>
      <c r="M872" s="175"/>
    </row>
    <row r="873" spans="2:13" x14ac:dyDescent="0.2">
      <c r="B873" s="192"/>
      <c r="C873" s="193"/>
      <c r="D873" s="192"/>
      <c r="E873" s="192"/>
      <c r="F873" s="192"/>
      <c r="G873" s="192"/>
      <c r="H873" s="170"/>
      <c r="I873" s="192"/>
      <c r="J873" s="193"/>
      <c r="K873" s="192"/>
      <c r="L873" s="192"/>
      <c r="M873" s="175"/>
    </row>
    <row r="874" spans="2:13" x14ac:dyDescent="0.2">
      <c r="B874" s="192"/>
      <c r="C874" s="193"/>
      <c r="D874" s="192"/>
      <c r="E874" s="192"/>
      <c r="F874" s="192"/>
      <c r="G874" s="192"/>
      <c r="H874" s="170"/>
      <c r="I874" s="192"/>
      <c r="J874" s="193"/>
      <c r="K874" s="192"/>
      <c r="L874" s="192"/>
      <c r="M874" s="175"/>
    </row>
    <row r="875" spans="2:13" x14ac:dyDescent="0.2">
      <c r="B875" s="192"/>
      <c r="C875" s="193"/>
      <c r="D875" s="192"/>
      <c r="E875" s="192"/>
      <c r="F875" s="192"/>
      <c r="G875" s="192"/>
      <c r="H875" s="170"/>
      <c r="I875" s="192"/>
      <c r="J875" s="193"/>
      <c r="K875" s="192"/>
      <c r="L875" s="192"/>
      <c r="M875" s="175"/>
    </row>
    <row r="876" spans="2:13" x14ac:dyDescent="0.2">
      <c r="B876" s="192"/>
      <c r="C876" s="193"/>
      <c r="D876" s="192"/>
      <c r="E876" s="192"/>
      <c r="F876" s="192"/>
      <c r="G876" s="192"/>
      <c r="H876" s="170"/>
      <c r="I876" s="192"/>
      <c r="J876" s="193"/>
      <c r="K876" s="192"/>
      <c r="L876" s="192"/>
      <c r="M876" s="175"/>
    </row>
    <row r="877" spans="2:13" x14ac:dyDescent="0.2">
      <c r="B877" s="192"/>
      <c r="C877" s="193"/>
      <c r="D877" s="192"/>
      <c r="E877" s="192"/>
      <c r="F877" s="192"/>
      <c r="G877" s="192"/>
      <c r="H877" s="170"/>
      <c r="I877" s="192"/>
      <c r="J877" s="193"/>
      <c r="K877" s="192"/>
      <c r="L877" s="192"/>
      <c r="M877" s="175"/>
    </row>
    <row r="878" spans="2:13" x14ac:dyDescent="0.2">
      <c r="B878" s="192"/>
      <c r="C878" s="193"/>
      <c r="D878" s="192"/>
      <c r="E878" s="192"/>
      <c r="F878" s="192"/>
      <c r="G878" s="192"/>
      <c r="H878" s="170"/>
      <c r="I878" s="192"/>
      <c r="J878" s="193"/>
      <c r="K878" s="192"/>
      <c r="L878" s="192"/>
      <c r="M878" s="175"/>
    </row>
    <row r="879" spans="2:13" x14ac:dyDescent="0.2">
      <c r="B879" s="192"/>
      <c r="C879" s="193"/>
      <c r="D879" s="192"/>
      <c r="E879" s="192"/>
      <c r="F879" s="192"/>
      <c r="G879" s="192"/>
      <c r="H879" s="170"/>
      <c r="I879" s="192"/>
      <c r="J879" s="193"/>
      <c r="K879" s="192"/>
      <c r="L879" s="192"/>
      <c r="M879" s="175"/>
    </row>
    <row r="880" spans="2:13" x14ac:dyDescent="0.2">
      <c r="B880" s="192"/>
      <c r="C880" s="193"/>
      <c r="D880" s="192"/>
      <c r="E880" s="192"/>
      <c r="F880" s="192"/>
      <c r="G880" s="192"/>
      <c r="H880" s="170"/>
      <c r="I880" s="192"/>
      <c r="J880" s="193"/>
      <c r="K880" s="192"/>
      <c r="L880" s="192"/>
      <c r="M880" s="175"/>
    </row>
    <row r="881" spans="2:13" x14ac:dyDescent="0.2">
      <c r="B881" s="192"/>
      <c r="C881" s="193"/>
      <c r="D881" s="192"/>
      <c r="E881" s="192"/>
      <c r="F881" s="192"/>
      <c r="G881" s="192"/>
      <c r="H881" s="170"/>
      <c r="I881" s="192"/>
      <c r="J881" s="193"/>
      <c r="K881" s="192"/>
      <c r="L881" s="192"/>
      <c r="M881" s="175"/>
    </row>
    <row r="882" spans="2:13" x14ac:dyDescent="0.2">
      <c r="B882" s="192"/>
      <c r="C882" s="193"/>
      <c r="D882" s="192"/>
      <c r="E882" s="192"/>
      <c r="F882" s="192"/>
      <c r="G882" s="192"/>
      <c r="H882" s="170"/>
      <c r="I882" s="192"/>
      <c r="J882" s="193"/>
      <c r="K882" s="192"/>
      <c r="L882" s="192"/>
      <c r="M882" s="175"/>
    </row>
    <row r="883" spans="2:13" x14ac:dyDescent="0.2">
      <c r="B883" s="192"/>
      <c r="C883" s="193"/>
      <c r="D883" s="192"/>
      <c r="E883" s="192"/>
      <c r="F883" s="192"/>
      <c r="G883" s="192"/>
      <c r="H883" s="170"/>
      <c r="I883" s="192"/>
      <c r="J883" s="193"/>
      <c r="K883" s="192"/>
      <c r="L883" s="192"/>
      <c r="M883" s="175"/>
    </row>
    <row r="884" spans="2:13" x14ac:dyDescent="0.2">
      <c r="B884" s="192"/>
      <c r="C884" s="193"/>
      <c r="D884" s="192"/>
      <c r="E884" s="192"/>
      <c r="F884" s="192"/>
      <c r="G884" s="192"/>
      <c r="H884" s="170"/>
      <c r="I884" s="192"/>
      <c r="J884" s="193"/>
      <c r="K884" s="192"/>
      <c r="L884" s="192"/>
      <c r="M884" s="175"/>
    </row>
    <row r="885" spans="2:13" x14ac:dyDescent="0.2">
      <c r="B885" s="192"/>
      <c r="C885" s="193"/>
      <c r="D885" s="192"/>
      <c r="E885" s="192"/>
      <c r="F885" s="192"/>
      <c r="G885" s="192"/>
      <c r="H885" s="170"/>
      <c r="I885" s="192"/>
      <c r="J885" s="193"/>
      <c r="K885" s="192"/>
      <c r="L885" s="192"/>
      <c r="M885" s="175"/>
    </row>
    <row r="886" spans="2:13" x14ac:dyDescent="0.2">
      <c r="B886" s="192"/>
      <c r="C886" s="193"/>
      <c r="D886" s="192"/>
      <c r="E886" s="192"/>
      <c r="F886" s="192"/>
      <c r="G886" s="192"/>
      <c r="H886" s="170"/>
      <c r="I886" s="192"/>
      <c r="J886" s="193"/>
      <c r="K886" s="192"/>
      <c r="L886" s="192"/>
      <c r="M886" s="175"/>
    </row>
    <row r="887" spans="2:13" x14ac:dyDescent="0.2">
      <c r="B887" s="192"/>
      <c r="C887" s="193"/>
      <c r="D887" s="192"/>
      <c r="E887" s="192"/>
      <c r="F887" s="192"/>
      <c r="G887" s="192"/>
      <c r="H887" s="170"/>
      <c r="I887" s="192"/>
      <c r="J887" s="193"/>
      <c r="K887" s="192"/>
      <c r="L887" s="192"/>
      <c r="M887" s="175"/>
    </row>
    <row r="888" spans="2:13" x14ac:dyDescent="0.2">
      <c r="B888" s="192"/>
      <c r="C888" s="193"/>
      <c r="D888" s="192"/>
      <c r="E888" s="192"/>
      <c r="F888" s="192"/>
      <c r="G888" s="192"/>
      <c r="H888" s="170"/>
      <c r="I888" s="192"/>
      <c r="J888" s="193"/>
      <c r="K888" s="192"/>
      <c r="L888" s="192"/>
      <c r="M888" s="175"/>
    </row>
    <row r="889" spans="2:13" x14ac:dyDescent="0.2">
      <c r="B889" s="192"/>
      <c r="C889" s="193"/>
      <c r="D889" s="192"/>
      <c r="E889" s="192"/>
      <c r="F889" s="192"/>
      <c r="G889" s="192"/>
      <c r="H889" s="170"/>
      <c r="I889" s="192"/>
      <c r="J889" s="193"/>
      <c r="K889" s="192"/>
      <c r="L889" s="192"/>
      <c r="M889" s="175"/>
    </row>
    <row r="890" spans="2:13" x14ac:dyDescent="0.2">
      <c r="B890" s="192"/>
      <c r="C890" s="193"/>
      <c r="D890" s="192"/>
      <c r="E890" s="192"/>
      <c r="F890" s="192"/>
      <c r="G890" s="192"/>
      <c r="H890" s="170"/>
      <c r="I890" s="192"/>
      <c r="J890" s="193"/>
      <c r="K890" s="192"/>
      <c r="L890" s="192"/>
      <c r="M890" s="175"/>
    </row>
    <row r="891" spans="2:13" x14ac:dyDescent="0.2">
      <c r="B891" s="192"/>
      <c r="C891" s="193"/>
      <c r="D891" s="192"/>
      <c r="E891" s="192"/>
      <c r="F891" s="192"/>
      <c r="G891" s="192"/>
      <c r="H891" s="170"/>
      <c r="I891" s="192"/>
      <c r="J891" s="193"/>
      <c r="K891" s="192"/>
      <c r="L891" s="192"/>
      <c r="M891" s="175"/>
    </row>
    <row r="892" spans="2:13" x14ac:dyDescent="0.2">
      <c r="B892" s="192"/>
      <c r="C892" s="193"/>
      <c r="D892" s="192"/>
      <c r="E892" s="192"/>
      <c r="F892" s="192"/>
      <c r="G892" s="192"/>
      <c r="H892" s="170"/>
      <c r="I892" s="192"/>
      <c r="J892" s="193"/>
      <c r="K892" s="192"/>
      <c r="L892" s="192"/>
      <c r="M892" s="175"/>
    </row>
    <row r="893" spans="2:13" x14ac:dyDescent="0.2">
      <c r="B893" s="192"/>
      <c r="C893" s="193"/>
      <c r="D893" s="192"/>
      <c r="E893" s="192"/>
      <c r="F893" s="192"/>
      <c r="G893" s="192"/>
      <c r="H893" s="170"/>
      <c r="I893" s="192"/>
      <c r="J893" s="193"/>
      <c r="K893" s="192"/>
      <c r="L893" s="192"/>
      <c r="M893" s="175"/>
    </row>
    <row r="894" spans="2:13" x14ac:dyDescent="0.2">
      <c r="B894" s="192"/>
      <c r="C894" s="193"/>
      <c r="D894" s="192"/>
      <c r="E894" s="192"/>
      <c r="F894" s="192"/>
      <c r="G894" s="192"/>
      <c r="H894" s="170"/>
      <c r="I894" s="192"/>
      <c r="J894" s="193"/>
      <c r="K894" s="192"/>
      <c r="L894" s="192"/>
      <c r="M894" s="175"/>
    </row>
    <row r="895" spans="2:13" x14ac:dyDescent="0.2">
      <c r="B895" s="192"/>
      <c r="C895" s="193"/>
      <c r="D895" s="192"/>
      <c r="E895" s="192"/>
      <c r="F895" s="192"/>
      <c r="G895" s="192"/>
      <c r="H895" s="170"/>
      <c r="I895" s="192"/>
      <c r="J895" s="193"/>
      <c r="K895" s="192"/>
      <c r="L895" s="192"/>
      <c r="M895" s="175"/>
    </row>
    <row r="896" spans="2:13" x14ac:dyDescent="0.2">
      <c r="B896" s="192"/>
      <c r="C896" s="193"/>
      <c r="D896" s="192"/>
      <c r="E896" s="192"/>
      <c r="F896" s="192"/>
      <c r="G896" s="192"/>
      <c r="H896" s="170"/>
      <c r="I896" s="192"/>
      <c r="J896" s="193"/>
      <c r="K896" s="192"/>
      <c r="L896" s="192"/>
      <c r="M896" s="175"/>
    </row>
    <row r="897" spans="2:13" x14ac:dyDescent="0.2">
      <c r="B897" s="192"/>
      <c r="C897" s="193"/>
      <c r="D897" s="192"/>
      <c r="E897" s="192"/>
      <c r="F897" s="192"/>
      <c r="G897" s="192"/>
      <c r="H897" s="170"/>
      <c r="I897" s="192"/>
      <c r="J897" s="193"/>
      <c r="K897" s="192"/>
      <c r="L897" s="192"/>
      <c r="M897" s="175"/>
    </row>
    <row r="898" spans="2:13" x14ac:dyDescent="0.2">
      <c r="B898" s="192"/>
      <c r="C898" s="193"/>
      <c r="D898" s="192"/>
      <c r="E898" s="192"/>
      <c r="F898" s="192"/>
      <c r="G898" s="192"/>
      <c r="H898" s="170"/>
      <c r="I898" s="192"/>
      <c r="J898" s="193"/>
      <c r="K898" s="192"/>
      <c r="L898" s="192"/>
      <c r="M898" s="175"/>
    </row>
    <row r="899" spans="2:13" x14ac:dyDescent="0.2">
      <c r="B899" s="192"/>
      <c r="C899" s="193"/>
      <c r="D899" s="192"/>
      <c r="E899" s="192"/>
      <c r="F899" s="192"/>
      <c r="G899" s="192"/>
      <c r="H899" s="170"/>
      <c r="I899" s="192"/>
      <c r="J899" s="193"/>
      <c r="K899" s="192"/>
      <c r="L899" s="192"/>
      <c r="M899" s="175"/>
    </row>
    <row r="900" spans="2:13" x14ac:dyDescent="0.2">
      <c r="B900" s="192"/>
      <c r="C900" s="193"/>
      <c r="D900" s="192"/>
      <c r="E900" s="192"/>
      <c r="F900" s="192"/>
      <c r="G900" s="192"/>
      <c r="H900" s="170"/>
      <c r="I900" s="192"/>
      <c r="J900" s="193"/>
      <c r="K900" s="192"/>
      <c r="L900" s="192"/>
      <c r="M900" s="175"/>
    </row>
    <row r="901" spans="2:13" x14ac:dyDescent="0.2">
      <c r="B901" s="192"/>
      <c r="C901" s="193"/>
      <c r="D901" s="192"/>
      <c r="E901" s="192"/>
      <c r="F901" s="192"/>
      <c r="G901" s="192"/>
      <c r="H901" s="170"/>
      <c r="I901" s="192"/>
      <c r="J901" s="193"/>
      <c r="K901" s="192"/>
      <c r="L901" s="192"/>
      <c r="M901" s="175"/>
    </row>
    <row r="902" spans="2:13" x14ac:dyDescent="0.2">
      <c r="B902" s="192"/>
      <c r="C902" s="193"/>
      <c r="D902" s="192"/>
      <c r="E902" s="192"/>
      <c r="F902" s="192"/>
      <c r="G902" s="192"/>
      <c r="H902" s="170"/>
      <c r="I902" s="192"/>
      <c r="J902" s="193"/>
      <c r="K902" s="192"/>
      <c r="L902" s="192"/>
      <c r="M902" s="175"/>
    </row>
    <row r="903" spans="2:13" x14ac:dyDescent="0.2">
      <c r="B903" s="192"/>
      <c r="C903" s="193"/>
      <c r="D903" s="192"/>
      <c r="E903" s="192"/>
      <c r="F903" s="192"/>
      <c r="G903" s="192"/>
      <c r="H903" s="170"/>
      <c r="I903" s="192"/>
      <c r="J903" s="193"/>
      <c r="K903" s="192"/>
      <c r="L903" s="192"/>
      <c r="M903" s="175"/>
    </row>
    <row r="904" spans="2:13" x14ac:dyDescent="0.2">
      <c r="B904" s="192"/>
      <c r="C904" s="193"/>
      <c r="D904" s="192"/>
      <c r="E904" s="192"/>
      <c r="F904" s="192"/>
      <c r="G904" s="192"/>
      <c r="H904" s="170"/>
      <c r="I904" s="192"/>
      <c r="J904" s="193"/>
      <c r="K904" s="192"/>
      <c r="L904" s="192"/>
      <c r="M904" s="175"/>
    </row>
    <row r="905" spans="2:13" x14ac:dyDescent="0.2">
      <c r="B905" s="192"/>
      <c r="C905" s="193"/>
      <c r="D905" s="192"/>
      <c r="E905" s="192"/>
      <c r="F905" s="192"/>
      <c r="G905" s="192"/>
      <c r="H905" s="170"/>
      <c r="I905" s="192"/>
      <c r="J905" s="193"/>
      <c r="K905" s="192"/>
      <c r="L905" s="192"/>
      <c r="M905" s="175"/>
    </row>
    <row r="906" spans="2:13" x14ac:dyDescent="0.2">
      <c r="B906" s="192"/>
      <c r="C906" s="193"/>
      <c r="D906" s="192"/>
      <c r="E906" s="192"/>
      <c r="F906" s="192"/>
      <c r="G906" s="192"/>
      <c r="H906" s="170"/>
      <c r="I906" s="192"/>
      <c r="J906" s="193"/>
      <c r="K906" s="192"/>
      <c r="L906" s="192"/>
      <c r="M906" s="175"/>
    </row>
    <row r="907" spans="2:13" x14ac:dyDescent="0.2">
      <c r="B907" s="192"/>
      <c r="C907" s="193"/>
      <c r="D907" s="192"/>
      <c r="E907" s="192"/>
      <c r="F907" s="192"/>
      <c r="G907" s="192"/>
      <c r="H907" s="170"/>
      <c r="I907" s="192"/>
      <c r="J907" s="193"/>
      <c r="K907" s="192"/>
      <c r="L907" s="192"/>
      <c r="M907" s="175"/>
    </row>
    <row r="908" spans="2:13" x14ac:dyDescent="0.2">
      <c r="B908" s="192"/>
      <c r="C908" s="193"/>
      <c r="D908" s="192"/>
      <c r="E908" s="192"/>
      <c r="F908" s="192"/>
      <c r="G908" s="192"/>
      <c r="H908" s="170"/>
      <c r="I908" s="192"/>
      <c r="J908" s="193"/>
      <c r="K908" s="192"/>
      <c r="L908" s="192"/>
      <c r="M908" s="175"/>
    </row>
    <row r="909" spans="2:13" x14ac:dyDescent="0.2">
      <c r="B909" s="192"/>
      <c r="C909" s="193"/>
      <c r="D909" s="192"/>
      <c r="E909" s="192"/>
      <c r="F909" s="192"/>
      <c r="G909" s="192"/>
      <c r="H909" s="170"/>
      <c r="I909" s="192"/>
      <c r="J909" s="193"/>
      <c r="K909" s="192"/>
      <c r="L909" s="192"/>
      <c r="M909" s="175"/>
    </row>
    <row r="910" spans="2:13" x14ac:dyDescent="0.2">
      <c r="B910" s="192"/>
      <c r="C910" s="193"/>
      <c r="D910" s="192"/>
      <c r="E910" s="192"/>
      <c r="F910" s="192"/>
      <c r="G910" s="192"/>
      <c r="H910" s="170"/>
      <c r="I910" s="192"/>
      <c r="J910" s="193"/>
      <c r="K910" s="192"/>
      <c r="L910" s="192"/>
      <c r="M910" s="175"/>
    </row>
    <row r="911" spans="2:13" x14ac:dyDescent="0.2">
      <c r="B911" s="192"/>
      <c r="C911" s="193"/>
      <c r="D911" s="192"/>
      <c r="E911" s="192"/>
      <c r="F911" s="192"/>
      <c r="G911" s="192"/>
      <c r="H911" s="170"/>
      <c r="I911" s="192"/>
      <c r="J911" s="193"/>
      <c r="K911" s="192"/>
      <c r="L911" s="192"/>
      <c r="M911" s="175"/>
    </row>
    <row r="912" spans="2:13" x14ac:dyDescent="0.2">
      <c r="B912" s="192"/>
      <c r="C912" s="193"/>
      <c r="D912" s="192"/>
      <c r="E912" s="192"/>
      <c r="F912" s="192"/>
      <c r="G912" s="192"/>
      <c r="H912" s="170"/>
      <c r="I912" s="192"/>
      <c r="J912" s="193"/>
      <c r="K912" s="192"/>
      <c r="L912" s="192"/>
      <c r="M912" s="175"/>
    </row>
    <row r="913" spans="2:13" x14ac:dyDescent="0.2">
      <c r="B913" s="192"/>
      <c r="C913" s="193"/>
      <c r="D913" s="192"/>
      <c r="E913" s="192"/>
      <c r="F913" s="192"/>
      <c r="G913" s="192"/>
      <c r="H913" s="170"/>
      <c r="I913" s="192"/>
      <c r="J913" s="193"/>
      <c r="K913" s="192"/>
      <c r="L913" s="192"/>
      <c r="M913" s="175"/>
    </row>
    <row r="914" spans="2:13" x14ac:dyDescent="0.2">
      <c r="B914" s="192"/>
      <c r="C914" s="193"/>
      <c r="D914" s="192"/>
      <c r="E914" s="192"/>
      <c r="F914" s="192"/>
      <c r="G914" s="192"/>
      <c r="H914" s="170"/>
      <c r="I914" s="192"/>
      <c r="J914" s="193"/>
      <c r="K914" s="192"/>
      <c r="L914" s="192"/>
      <c r="M914" s="175"/>
    </row>
    <row r="915" spans="2:13" x14ac:dyDescent="0.2">
      <c r="B915" s="192"/>
      <c r="C915" s="193"/>
      <c r="D915" s="192"/>
      <c r="E915" s="192"/>
      <c r="F915" s="192"/>
      <c r="G915" s="192"/>
      <c r="H915" s="170"/>
      <c r="I915" s="192"/>
      <c r="J915" s="193"/>
      <c r="K915" s="192"/>
      <c r="L915" s="192"/>
      <c r="M915" s="175"/>
    </row>
    <row r="916" spans="2:13" x14ac:dyDescent="0.2">
      <c r="B916" s="192"/>
      <c r="C916" s="193"/>
      <c r="D916" s="192"/>
      <c r="E916" s="192"/>
      <c r="F916" s="192"/>
      <c r="G916" s="192"/>
      <c r="H916" s="170"/>
      <c r="I916" s="192"/>
      <c r="J916" s="193"/>
      <c r="K916" s="192"/>
      <c r="L916" s="192"/>
      <c r="M916" s="175"/>
    </row>
  </sheetData>
  <mergeCells count="1">
    <mergeCell ref="B2:M2"/>
  </mergeCells>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23"/>
  <sheetViews>
    <sheetView topLeftCell="B10" zoomScale="80" zoomScaleNormal="80" workbookViewId="0">
      <selection activeCell="B25" sqref="B25:B46"/>
    </sheetView>
  </sheetViews>
  <sheetFormatPr baseColWidth="10" defaultColWidth="9.140625" defaultRowHeight="12.75" x14ac:dyDescent="0.2"/>
  <cols>
    <col min="1" max="1" width="13.42578125" hidden="1" customWidth="1"/>
    <col min="2" max="2" width="9.42578125" style="4" customWidth="1"/>
    <col min="3" max="3" width="18" style="3" customWidth="1"/>
    <col min="4" max="4" width="8.28515625" style="4" customWidth="1"/>
    <col min="5" max="5" width="9.140625" style="4"/>
    <col min="6" max="6" width="12.85546875" style="4" customWidth="1"/>
    <col min="7" max="7" width="10" style="4" customWidth="1"/>
    <col min="8" max="8" width="62.28515625" style="2" customWidth="1"/>
    <col min="9" max="9" width="11.7109375" style="4" customWidth="1"/>
    <col min="10" max="10" width="17.5703125" style="3" customWidth="1"/>
    <col min="11" max="11" width="16" style="4" customWidth="1"/>
    <col min="12" max="12" width="11" style="4" customWidth="1"/>
    <col min="13" max="13" width="20.28515625" customWidth="1"/>
  </cols>
  <sheetData>
    <row r="1" spans="1:147" x14ac:dyDescent="0.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row>
    <row r="2" spans="1:147" ht="24" customHeight="1" x14ac:dyDescent="0.2">
      <c r="B2" s="185" t="s">
        <v>1103</v>
      </c>
      <c r="C2" s="185"/>
      <c r="D2" s="185"/>
      <c r="E2" s="185"/>
      <c r="F2" s="185"/>
      <c r="G2" s="185"/>
      <c r="H2" s="185"/>
      <c r="I2" s="185"/>
      <c r="J2" s="185"/>
      <c r="K2" s="185"/>
      <c r="L2" s="185"/>
      <c r="M2" s="185"/>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row>
    <row r="3" spans="1:147" x14ac:dyDescent="0.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row>
    <row r="4" spans="1:147" s="7" customFormat="1" ht="38.25" x14ac:dyDescent="0.2">
      <c r="A4" s="7" t="s">
        <v>641</v>
      </c>
      <c r="B4" s="10" t="s">
        <v>1100</v>
      </c>
      <c r="C4" s="10" t="s">
        <v>1092</v>
      </c>
      <c r="D4" s="9" t="s">
        <v>1091</v>
      </c>
      <c r="E4" s="10" t="s">
        <v>1097</v>
      </c>
      <c r="F4" s="9" t="s">
        <v>1098</v>
      </c>
      <c r="G4" s="9" t="s">
        <v>1093</v>
      </c>
      <c r="H4" s="10" t="s">
        <v>409</v>
      </c>
      <c r="I4" s="10" t="s">
        <v>1094</v>
      </c>
      <c r="J4" s="10" t="s">
        <v>1095</v>
      </c>
      <c r="K4" s="10" t="s">
        <v>1104</v>
      </c>
      <c r="L4" s="10" t="s">
        <v>1096</v>
      </c>
      <c r="M4" s="10"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3"/>
      <c r="EG4" s="33"/>
      <c r="EH4" s="33"/>
      <c r="EI4" s="33"/>
      <c r="EJ4" s="33"/>
      <c r="EK4" s="33"/>
      <c r="EL4" s="33"/>
      <c r="EM4" s="33"/>
      <c r="EN4" s="33"/>
      <c r="EO4" s="33"/>
      <c r="EP4" s="33"/>
      <c r="EQ4" s="33"/>
    </row>
    <row r="5" spans="1:147" x14ac:dyDescent="0.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row>
    <row r="6" spans="1:147" x14ac:dyDescent="0.2">
      <c r="A6" s="1"/>
      <c r="B6" s="52"/>
      <c r="C6" s="53"/>
      <c r="D6" s="52"/>
      <c r="E6" s="52"/>
      <c r="F6" s="52"/>
      <c r="G6" s="61"/>
      <c r="H6" s="42"/>
      <c r="I6" s="52"/>
      <c r="J6" s="53"/>
      <c r="K6" s="52"/>
      <c r="L6" s="52"/>
      <c r="M6" s="37"/>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row>
    <row r="7" spans="1:147" ht="15.75" x14ac:dyDescent="0.2">
      <c r="A7" s="1">
        <v>0</v>
      </c>
      <c r="B7" s="52"/>
      <c r="C7" s="53"/>
      <c r="D7" s="52"/>
      <c r="E7" s="52"/>
      <c r="F7" s="52"/>
      <c r="G7" s="61"/>
      <c r="H7" s="51" t="s">
        <v>392</v>
      </c>
      <c r="I7" s="52"/>
      <c r="J7" s="53"/>
      <c r="K7" s="52"/>
      <c r="L7" s="52"/>
      <c r="M7" s="54"/>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row>
    <row r="8" spans="1:147" ht="31.5" x14ac:dyDescent="0.2">
      <c r="A8" s="1">
        <v>1</v>
      </c>
      <c r="B8" s="52"/>
      <c r="C8" s="53"/>
      <c r="D8" s="52"/>
      <c r="E8" s="52"/>
      <c r="F8" s="52"/>
      <c r="G8" s="61"/>
      <c r="H8" s="51" t="s">
        <v>1008</v>
      </c>
      <c r="I8" s="52"/>
      <c r="J8" s="53"/>
      <c r="K8" s="52"/>
      <c r="L8" s="52"/>
      <c r="M8" s="54"/>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row>
    <row r="9" spans="1:147" x14ac:dyDescent="0.2">
      <c r="A9" s="1">
        <v>2</v>
      </c>
      <c r="B9" s="52"/>
      <c r="C9" s="53"/>
      <c r="D9" s="52"/>
      <c r="E9" s="52"/>
      <c r="F9" s="52"/>
      <c r="G9" s="61"/>
      <c r="H9" s="42"/>
      <c r="I9" s="52"/>
      <c r="J9" s="53"/>
      <c r="K9" s="52"/>
      <c r="L9" s="52"/>
      <c r="M9" s="54"/>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row>
    <row r="10" spans="1:147" ht="25.5" x14ac:dyDescent="0.2">
      <c r="A10" s="1">
        <v>3</v>
      </c>
      <c r="B10" s="52" t="s">
        <v>841</v>
      </c>
      <c r="C10" s="53"/>
      <c r="D10" s="52"/>
      <c r="E10" s="52"/>
      <c r="F10" s="52"/>
      <c r="G10" s="61"/>
      <c r="H10" s="56" t="s">
        <v>165</v>
      </c>
      <c r="I10" s="52"/>
      <c r="J10" s="53"/>
      <c r="K10" s="52"/>
      <c r="L10" s="52"/>
      <c r="M10" s="38">
        <f>+M11</f>
        <v>3557000000</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row>
    <row r="11" spans="1:147" ht="28.5" customHeight="1" x14ac:dyDescent="0.2">
      <c r="A11" s="1">
        <v>4</v>
      </c>
      <c r="B11" s="52" t="s">
        <v>285</v>
      </c>
      <c r="C11" s="53"/>
      <c r="D11" s="52"/>
      <c r="E11" s="52"/>
      <c r="F11" s="52"/>
      <c r="G11" s="61"/>
      <c r="H11" s="56" t="s">
        <v>590</v>
      </c>
      <c r="I11" s="52"/>
      <c r="J11" s="53"/>
      <c r="K11" s="52"/>
      <c r="L11" s="52"/>
      <c r="M11" s="38">
        <f>+M13</f>
        <v>3557000000</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row>
    <row r="12" spans="1:147" ht="60.75" customHeight="1" x14ac:dyDescent="0.2">
      <c r="A12" s="1">
        <v>5</v>
      </c>
      <c r="B12" s="52"/>
      <c r="C12" s="53"/>
      <c r="D12" s="52"/>
      <c r="E12" s="55">
        <v>619</v>
      </c>
      <c r="F12" s="52" t="s">
        <v>268</v>
      </c>
      <c r="G12" s="61"/>
      <c r="H12" s="42" t="s">
        <v>1079</v>
      </c>
      <c r="I12" s="55">
        <v>4993</v>
      </c>
      <c r="J12" s="53" t="s">
        <v>193</v>
      </c>
      <c r="K12" s="55"/>
      <c r="L12" s="52"/>
      <c r="M12" s="54"/>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row>
    <row r="13" spans="1:147" ht="25.5" x14ac:dyDescent="0.2">
      <c r="A13" s="1">
        <v>6</v>
      </c>
      <c r="B13" s="52" t="s">
        <v>955</v>
      </c>
      <c r="C13" s="53"/>
      <c r="D13" s="52"/>
      <c r="E13" s="52"/>
      <c r="F13" s="52"/>
      <c r="G13" s="61"/>
      <c r="H13" s="56" t="s">
        <v>249</v>
      </c>
      <c r="I13" s="52"/>
      <c r="J13" s="53"/>
      <c r="K13" s="52"/>
      <c r="L13" s="52"/>
      <c r="M13" s="38">
        <f>+M17+M19</f>
        <v>3557000000</v>
      </c>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row>
    <row r="14" spans="1:147" ht="25.5" x14ac:dyDescent="0.2">
      <c r="A14" s="1">
        <v>7</v>
      </c>
      <c r="B14" s="52"/>
      <c r="C14" s="53"/>
      <c r="D14" s="52" t="s">
        <v>6</v>
      </c>
      <c r="E14" s="55">
        <v>560</v>
      </c>
      <c r="F14" s="52" t="s">
        <v>1080</v>
      </c>
      <c r="G14" s="61"/>
      <c r="H14" s="42" t="s">
        <v>188</v>
      </c>
      <c r="I14" s="55">
        <v>2000</v>
      </c>
      <c r="J14" s="53" t="s">
        <v>587</v>
      </c>
      <c r="K14" s="55">
        <v>2000</v>
      </c>
      <c r="L14" s="55">
        <v>750</v>
      </c>
      <c r="M14" s="54"/>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row>
    <row r="15" spans="1:147" ht="25.5" x14ac:dyDescent="0.2">
      <c r="A15" s="1">
        <v>7</v>
      </c>
      <c r="B15" s="52"/>
      <c r="C15" s="53"/>
      <c r="D15" s="52" t="s">
        <v>6</v>
      </c>
      <c r="E15" s="55">
        <v>561</v>
      </c>
      <c r="F15" s="52" t="s">
        <v>1080</v>
      </c>
      <c r="G15" s="61"/>
      <c r="H15" s="42" t="s">
        <v>895</v>
      </c>
      <c r="I15" s="55">
        <v>2000</v>
      </c>
      <c r="J15" s="53" t="s">
        <v>587</v>
      </c>
      <c r="K15" s="55">
        <v>1741</v>
      </c>
      <c r="L15" s="52" t="s">
        <v>1305</v>
      </c>
      <c r="M15" s="54"/>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row>
    <row r="16" spans="1:147" ht="39.75" customHeight="1" x14ac:dyDescent="0.2">
      <c r="A16" s="1">
        <v>7</v>
      </c>
      <c r="B16" s="52"/>
      <c r="C16" s="53"/>
      <c r="D16" s="52" t="s">
        <v>6</v>
      </c>
      <c r="E16" s="55">
        <v>558</v>
      </c>
      <c r="F16" s="52" t="s">
        <v>1080</v>
      </c>
      <c r="G16" s="61"/>
      <c r="H16" s="42" t="s">
        <v>913</v>
      </c>
      <c r="I16" s="55">
        <v>116</v>
      </c>
      <c r="J16" s="53" t="s">
        <v>93</v>
      </c>
      <c r="K16" s="55">
        <v>113</v>
      </c>
      <c r="L16" s="52" t="s">
        <v>1174</v>
      </c>
      <c r="M16" s="54"/>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row>
    <row r="17" spans="1:147" ht="38.25" x14ac:dyDescent="0.2">
      <c r="A17" s="1">
        <v>8</v>
      </c>
      <c r="B17" s="52"/>
      <c r="C17" s="53" t="s">
        <v>10</v>
      </c>
      <c r="D17" s="52"/>
      <c r="E17" s="52"/>
      <c r="F17" s="52"/>
      <c r="G17" s="61">
        <v>296041</v>
      </c>
      <c r="H17" s="42" t="s">
        <v>956</v>
      </c>
      <c r="I17" s="52"/>
      <c r="J17" s="53"/>
      <c r="K17" s="52"/>
      <c r="L17" s="52"/>
      <c r="M17" s="37">
        <f>+M18</f>
        <v>441000000</v>
      </c>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row>
    <row r="18" spans="1:147" x14ac:dyDescent="0.2">
      <c r="A18" s="1">
        <v>9</v>
      </c>
      <c r="B18" s="52"/>
      <c r="C18" s="53"/>
      <c r="D18" s="52"/>
      <c r="E18" s="52"/>
      <c r="F18" s="52"/>
      <c r="G18" s="61"/>
      <c r="H18" s="42" t="s">
        <v>835</v>
      </c>
      <c r="I18" s="52"/>
      <c r="J18" s="53"/>
      <c r="K18" s="52"/>
      <c r="L18" s="52"/>
      <c r="M18" s="37">
        <f>400000000+41000000</f>
        <v>441000000</v>
      </c>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row>
    <row r="19" spans="1:147" ht="25.5" x14ac:dyDescent="0.2">
      <c r="A19" s="1">
        <v>8</v>
      </c>
      <c r="B19" s="52"/>
      <c r="C19" s="53" t="s">
        <v>10</v>
      </c>
      <c r="D19" s="52"/>
      <c r="E19" s="52"/>
      <c r="F19" s="52"/>
      <c r="G19" s="61">
        <v>296043</v>
      </c>
      <c r="H19" s="42" t="s">
        <v>504</v>
      </c>
      <c r="I19" s="52"/>
      <c r="J19" s="53"/>
      <c r="K19" s="52"/>
      <c r="L19" s="52"/>
      <c r="M19" s="37">
        <f>+M20</f>
        <v>3116000000</v>
      </c>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row>
    <row r="20" spans="1:147" x14ac:dyDescent="0.2">
      <c r="A20" s="1">
        <v>9</v>
      </c>
      <c r="B20" s="52"/>
      <c r="C20" s="53"/>
      <c r="D20" s="52"/>
      <c r="E20" s="52"/>
      <c r="F20" s="52"/>
      <c r="G20" s="61"/>
      <c r="H20" s="42" t="s">
        <v>835</v>
      </c>
      <c r="I20" s="52"/>
      <c r="J20" s="53"/>
      <c r="K20" s="52"/>
      <c r="L20" s="52"/>
      <c r="M20" s="37">
        <v>3116000000</v>
      </c>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row>
    <row r="21" spans="1:147" x14ac:dyDescent="0.2">
      <c r="A21" s="1"/>
      <c r="B21" s="52"/>
      <c r="C21" s="53"/>
      <c r="D21" s="52"/>
      <c r="E21" s="52"/>
      <c r="F21" s="52"/>
      <c r="G21" s="61"/>
      <c r="H21" s="42"/>
      <c r="I21" s="52"/>
      <c r="J21" s="53"/>
      <c r="K21" s="52"/>
      <c r="L21" s="52"/>
      <c r="M21" s="37"/>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row>
    <row r="22" spans="1:147" ht="30" x14ac:dyDescent="0.25">
      <c r="A22" s="1">
        <v>10</v>
      </c>
      <c r="B22" s="52"/>
      <c r="C22" s="53"/>
      <c r="D22" s="52"/>
      <c r="E22" s="52"/>
      <c r="F22" s="52"/>
      <c r="G22" s="61"/>
      <c r="H22" s="58" t="s">
        <v>428</v>
      </c>
      <c r="I22" s="59"/>
      <c r="J22" s="58"/>
      <c r="K22" s="59"/>
      <c r="L22" s="59"/>
      <c r="M22" s="64">
        <f>+M10</f>
        <v>3557000000</v>
      </c>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row>
    <row r="23" spans="1:147" ht="15" x14ac:dyDescent="0.25">
      <c r="A23" s="1"/>
      <c r="B23" s="52"/>
      <c r="C23" s="53"/>
      <c r="D23" s="52"/>
      <c r="E23" s="52"/>
      <c r="F23" s="52"/>
      <c r="G23" s="61"/>
      <c r="H23" s="58"/>
      <c r="I23" s="59"/>
      <c r="J23" s="58"/>
      <c r="K23" s="59"/>
      <c r="L23" s="59"/>
      <c r="M23" s="64"/>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row>
  </sheetData>
  <mergeCells count="1">
    <mergeCell ref="B2:M2"/>
  </mergeCells>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G64"/>
  <sheetViews>
    <sheetView topLeftCell="E34" zoomScale="80" zoomScaleNormal="80" workbookViewId="0">
      <selection activeCell="J55" sqref="J55:J103"/>
    </sheetView>
  </sheetViews>
  <sheetFormatPr baseColWidth="10" defaultColWidth="9.140625" defaultRowHeight="12.75" x14ac:dyDescent="0.2"/>
  <cols>
    <col min="1" max="1" width="13.42578125" style="32" hidden="1" customWidth="1"/>
    <col min="2" max="2" width="9.42578125" style="69" customWidth="1"/>
    <col min="3" max="3" width="17.28515625" style="70" customWidth="1"/>
    <col min="4" max="4" width="8.28515625" style="69" customWidth="1"/>
    <col min="5" max="5" width="8.42578125" style="69" customWidth="1"/>
    <col min="6" max="6" width="11.7109375" style="69" customWidth="1"/>
    <col min="7" max="7" width="7.85546875" style="69" customWidth="1"/>
    <col min="8" max="8" width="60.42578125"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2" spans="1:137" ht="24" customHeight="1" x14ac:dyDescent="0.2">
      <c r="B2" s="187" t="s">
        <v>1103</v>
      </c>
      <c r="C2" s="187"/>
      <c r="D2" s="187"/>
      <c r="E2" s="187"/>
      <c r="F2" s="187"/>
      <c r="G2" s="187"/>
      <c r="H2" s="187"/>
      <c r="I2" s="187"/>
      <c r="J2" s="187"/>
      <c r="K2" s="187"/>
      <c r="L2" s="187"/>
      <c r="M2" s="187"/>
    </row>
    <row r="4" spans="1:137" s="33" customFormat="1" ht="38.25" x14ac:dyDescent="0.2">
      <c r="A4" s="33" t="s">
        <v>641</v>
      </c>
      <c r="B4" s="71" t="s">
        <v>1100</v>
      </c>
      <c r="C4" s="71" t="s">
        <v>1092</v>
      </c>
      <c r="D4" s="35" t="s">
        <v>1091</v>
      </c>
      <c r="E4" s="71" t="s">
        <v>1097</v>
      </c>
      <c r="F4" s="35" t="s">
        <v>1098</v>
      </c>
      <c r="G4" s="35" t="s">
        <v>1093</v>
      </c>
      <c r="H4" s="71" t="s">
        <v>409</v>
      </c>
      <c r="I4" s="71" t="s">
        <v>1094</v>
      </c>
      <c r="J4" s="71" t="s">
        <v>1095</v>
      </c>
      <c r="K4" s="71" t="s">
        <v>1104</v>
      </c>
      <c r="L4" s="71" t="s">
        <v>1096</v>
      </c>
      <c r="M4" s="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row>
    <row r="6" spans="1:137" ht="15" x14ac:dyDescent="0.25">
      <c r="A6" s="37"/>
      <c r="B6" s="52"/>
      <c r="C6" s="53"/>
      <c r="D6" s="52"/>
      <c r="E6" s="52"/>
      <c r="F6" s="52"/>
      <c r="G6" s="61"/>
      <c r="H6" s="58"/>
      <c r="I6" s="59"/>
      <c r="J6" s="58"/>
      <c r="K6" s="59"/>
      <c r="L6" s="59"/>
      <c r="M6" s="64"/>
    </row>
    <row r="7" spans="1:137" ht="15.75" x14ac:dyDescent="0.2">
      <c r="A7" s="37">
        <v>0</v>
      </c>
      <c r="B7" s="52"/>
      <c r="C7" s="53"/>
      <c r="D7" s="52"/>
      <c r="E7" s="52"/>
      <c r="F7" s="52"/>
      <c r="G7" s="61"/>
      <c r="H7" s="51" t="s">
        <v>1112</v>
      </c>
      <c r="I7" s="52"/>
      <c r="J7" s="53"/>
      <c r="K7" s="52"/>
      <c r="L7" s="52"/>
      <c r="M7" s="54"/>
    </row>
    <row r="8" spans="1:137" ht="15.75" x14ac:dyDescent="0.2">
      <c r="A8" s="37">
        <v>1</v>
      </c>
      <c r="B8" s="52"/>
      <c r="C8" s="53"/>
      <c r="D8" s="52"/>
      <c r="E8" s="52"/>
      <c r="F8" s="52"/>
      <c r="G8" s="61"/>
      <c r="H8" s="51" t="s">
        <v>1111</v>
      </c>
      <c r="I8" s="52"/>
      <c r="J8" s="53"/>
      <c r="K8" s="52"/>
      <c r="L8" s="52"/>
      <c r="M8" s="54"/>
    </row>
    <row r="9" spans="1:137" x14ac:dyDescent="0.2">
      <c r="A9" s="37">
        <v>2</v>
      </c>
      <c r="B9" s="52"/>
      <c r="C9" s="53"/>
      <c r="D9" s="52"/>
      <c r="E9" s="52"/>
      <c r="F9" s="52"/>
      <c r="G9" s="61"/>
      <c r="H9" s="42"/>
      <c r="I9" s="52"/>
      <c r="J9" s="53"/>
      <c r="K9" s="52"/>
      <c r="L9" s="52"/>
      <c r="M9" s="54"/>
    </row>
    <row r="10" spans="1:137" ht="25.5" x14ac:dyDescent="0.2">
      <c r="A10" s="37">
        <v>3</v>
      </c>
      <c r="B10" s="52" t="s">
        <v>841</v>
      </c>
      <c r="C10" s="53"/>
      <c r="D10" s="52"/>
      <c r="E10" s="52"/>
      <c r="F10" s="52"/>
      <c r="G10" s="61"/>
      <c r="H10" s="56" t="s">
        <v>165</v>
      </c>
      <c r="I10" s="49"/>
      <c r="J10" s="50"/>
      <c r="K10" s="49"/>
      <c r="L10" s="49"/>
      <c r="M10" s="38">
        <f>+M11+M32</f>
        <v>25461745740</v>
      </c>
    </row>
    <row r="11" spans="1:137" x14ac:dyDescent="0.2">
      <c r="A11" s="37">
        <v>4</v>
      </c>
      <c r="B11" s="52" t="s">
        <v>497</v>
      </c>
      <c r="C11" s="53"/>
      <c r="D11" s="52"/>
      <c r="E11" s="52"/>
      <c r="F11" s="52"/>
      <c r="G11" s="61"/>
      <c r="H11" s="56" t="s">
        <v>355</v>
      </c>
      <c r="I11" s="49"/>
      <c r="J11" s="50"/>
      <c r="K11" s="49"/>
      <c r="L11" s="49"/>
      <c r="M11" s="38">
        <f>+M14</f>
        <v>12640000000</v>
      </c>
    </row>
    <row r="12" spans="1:137" x14ac:dyDescent="0.2">
      <c r="A12" s="37">
        <v>5</v>
      </c>
      <c r="B12" s="52"/>
      <c r="C12" s="53"/>
      <c r="D12" s="52"/>
      <c r="E12" s="55">
        <v>612</v>
      </c>
      <c r="F12" s="52" t="s">
        <v>268</v>
      </c>
      <c r="G12" s="61"/>
      <c r="H12" s="42" t="s">
        <v>100</v>
      </c>
      <c r="I12" s="55">
        <v>2</v>
      </c>
      <c r="J12" s="53" t="s">
        <v>1001</v>
      </c>
      <c r="K12" s="55"/>
      <c r="L12" s="52" t="s">
        <v>1118</v>
      </c>
      <c r="M12" s="54"/>
    </row>
    <row r="13" spans="1:137" ht="26.25" customHeight="1" x14ac:dyDescent="0.2">
      <c r="A13" s="37">
        <v>5</v>
      </c>
      <c r="B13" s="52"/>
      <c r="C13" s="53"/>
      <c r="D13" s="52"/>
      <c r="E13" s="55">
        <v>615</v>
      </c>
      <c r="F13" s="52" t="s">
        <v>268</v>
      </c>
      <c r="G13" s="61"/>
      <c r="H13" s="42" t="s">
        <v>148</v>
      </c>
      <c r="I13" s="55">
        <v>1</v>
      </c>
      <c r="J13" s="53" t="s">
        <v>1001</v>
      </c>
      <c r="K13" s="55"/>
      <c r="L13" s="52"/>
      <c r="M13" s="54"/>
    </row>
    <row r="14" spans="1:137" x14ac:dyDescent="0.2">
      <c r="A14" s="37">
        <v>6</v>
      </c>
      <c r="B14" s="52" t="s">
        <v>885</v>
      </c>
      <c r="C14" s="53"/>
      <c r="D14" s="52"/>
      <c r="E14" s="52"/>
      <c r="F14" s="52"/>
      <c r="G14" s="61"/>
      <c r="H14" s="56" t="s">
        <v>159</v>
      </c>
      <c r="I14" s="49"/>
      <c r="J14" s="50"/>
      <c r="K14" s="49"/>
      <c r="L14" s="49"/>
      <c r="M14" s="38">
        <f>+M16+M20+M25+M18+M28</f>
        <v>12640000000</v>
      </c>
    </row>
    <row r="15" spans="1:137" ht="51" x14ac:dyDescent="0.2">
      <c r="A15" s="37">
        <v>7</v>
      </c>
      <c r="B15" s="52"/>
      <c r="C15" s="53"/>
      <c r="D15" s="52" t="s">
        <v>597</v>
      </c>
      <c r="E15" s="55">
        <v>540</v>
      </c>
      <c r="F15" s="52" t="s">
        <v>1080</v>
      </c>
      <c r="G15" s="61"/>
      <c r="H15" s="42" t="s">
        <v>375</v>
      </c>
      <c r="I15" s="55">
        <v>10</v>
      </c>
      <c r="J15" s="53" t="s">
        <v>440</v>
      </c>
      <c r="K15" s="55">
        <v>4</v>
      </c>
      <c r="L15" s="52" t="s">
        <v>422</v>
      </c>
      <c r="M15" s="54"/>
    </row>
    <row r="16" spans="1:137" ht="59.45" customHeight="1" x14ac:dyDescent="0.2">
      <c r="A16" s="37">
        <v>8</v>
      </c>
      <c r="B16" s="52"/>
      <c r="C16" s="53" t="s">
        <v>1159</v>
      </c>
      <c r="D16" s="52"/>
      <c r="E16" s="52"/>
      <c r="F16" s="52"/>
      <c r="G16" s="195">
        <v>295968</v>
      </c>
      <c r="H16" s="80" t="s">
        <v>1161</v>
      </c>
      <c r="I16" s="189"/>
      <c r="J16" s="190"/>
      <c r="K16" s="189"/>
      <c r="L16" s="189"/>
      <c r="M16" s="183">
        <f>+M17</f>
        <v>6200000000</v>
      </c>
    </row>
    <row r="17" spans="1:13" x14ac:dyDescent="0.2">
      <c r="A17" s="37">
        <v>9</v>
      </c>
      <c r="B17" s="52"/>
      <c r="C17" s="53"/>
      <c r="D17" s="52"/>
      <c r="E17" s="52"/>
      <c r="F17" s="52"/>
      <c r="G17" s="195"/>
      <c r="H17" s="80" t="s">
        <v>835</v>
      </c>
      <c r="I17" s="189"/>
      <c r="J17" s="190"/>
      <c r="K17" s="189"/>
      <c r="L17" s="189"/>
      <c r="M17" s="183">
        <v>6200000000</v>
      </c>
    </row>
    <row r="18" spans="1:13" ht="38.25" x14ac:dyDescent="0.2">
      <c r="A18" s="37"/>
      <c r="B18" s="52"/>
      <c r="C18" s="53" t="s">
        <v>10</v>
      </c>
      <c r="D18" s="52"/>
      <c r="E18" s="52"/>
      <c r="F18" s="52"/>
      <c r="G18" s="195">
        <v>295968</v>
      </c>
      <c r="H18" s="80" t="s">
        <v>1455</v>
      </c>
      <c r="I18" s="189"/>
      <c r="J18" s="190"/>
      <c r="K18" s="189"/>
      <c r="L18" s="189"/>
      <c r="M18" s="183">
        <f>SUM(M19:M19)</f>
        <v>1000000000</v>
      </c>
    </row>
    <row r="19" spans="1:13" x14ac:dyDescent="0.2">
      <c r="A19" s="37"/>
      <c r="B19" s="52"/>
      <c r="C19" s="53"/>
      <c r="D19" s="52"/>
      <c r="E19" s="52"/>
      <c r="F19" s="52"/>
      <c r="G19" s="195"/>
      <c r="H19" s="80" t="s">
        <v>835</v>
      </c>
      <c r="I19" s="189"/>
      <c r="J19" s="190"/>
      <c r="K19" s="189"/>
      <c r="L19" s="189"/>
      <c r="M19" s="183">
        <f>2100000000-1100000000</f>
        <v>1000000000</v>
      </c>
    </row>
    <row r="20" spans="1:13" ht="25.5" x14ac:dyDescent="0.2">
      <c r="A20" s="37">
        <v>8</v>
      </c>
      <c r="B20" s="52"/>
      <c r="C20" s="53" t="s">
        <v>10</v>
      </c>
      <c r="D20" s="52"/>
      <c r="E20" s="52"/>
      <c r="F20" s="52"/>
      <c r="G20" s="195">
        <v>295969</v>
      </c>
      <c r="H20" s="80" t="s">
        <v>278</v>
      </c>
      <c r="I20" s="189"/>
      <c r="J20" s="190"/>
      <c r="K20" s="189"/>
      <c r="L20" s="189"/>
      <c r="M20" s="183">
        <f>SUM(M21:M24)</f>
        <v>2100000000</v>
      </c>
    </row>
    <row r="21" spans="1:13" ht="17.25" customHeight="1" x14ac:dyDescent="0.2">
      <c r="A21" s="37">
        <v>9</v>
      </c>
      <c r="B21" s="52"/>
      <c r="C21" s="53"/>
      <c r="D21" s="52"/>
      <c r="E21" s="52"/>
      <c r="F21" s="52"/>
      <c r="G21" s="195"/>
      <c r="H21" s="80" t="s">
        <v>658</v>
      </c>
      <c r="I21" s="189"/>
      <c r="J21" s="190"/>
      <c r="K21" s="189"/>
      <c r="L21" s="189"/>
      <c r="M21" s="183">
        <v>160163640</v>
      </c>
    </row>
    <row r="22" spans="1:13" x14ac:dyDescent="0.2">
      <c r="A22" s="37">
        <v>9</v>
      </c>
      <c r="B22" s="52"/>
      <c r="C22" s="53"/>
      <c r="D22" s="52"/>
      <c r="E22" s="52"/>
      <c r="F22" s="52"/>
      <c r="G22" s="195"/>
      <c r="H22" s="80" t="s">
        <v>791</v>
      </c>
      <c r="I22" s="189"/>
      <c r="J22" s="190"/>
      <c r="K22" s="189"/>
      <c r="L22" s="189"/>
      <c r="M22" s="183">
        <v>0</v>
      </c>
    </row>
    <row r="23" spans="1:13" x14ac:dyDescent="0.2">
      <c r="A23" s="37">
        <v>9</v>
      </c>
      <c r="B23" s="52"/>
      <c r="C23" s="53"/>
      <c r="D23" s="52"/>
      <c r="E23" s="52"/>
      <c r="F23" s="52"/>
      <c r="G23" s="195"/>
      <c r="H23" s="80" t="s">
        <v>377</v>
      </c>
      <c r="I23" s="189"/>
      <c r="J23" s="190"/>
      <c r="K23" s="189"/>
      <c r="L23" s="189"/>
      <c r="M23" s="183">
        <v>750000000</v>
      </c>
    </row>
    <row r="24" spans="1:13" x14ac:dyDescent="0.2">
      <c r="A24" s="37">
        <v>9</v>
      </c>
      <c r="B24" s="52"/>
      <c r="C24" s="53"/>
      <c r="D24" s="52"/>
      <c r="E24" s="52"/>
      <c r="F24" s="52"/>
      <c r="G24" s="195"/>
      <c r="H24" s="80" t="s">
        <v>881</v>
      </c>
      <c r="I24" s="189"/>
      <c r="J24" s="190"/>
      <c r="K24" s="189"/>
      <c r="L24" s="189"/>
      <c r="M24" s="183">
        <f>1350000000-160163640</f>
        <v>1189836360</v>
      </c>
    </row>
    <row r="25" spans="1:13" ht="55.9" customHeight="1" x14ac:dyDescent="0.2">
      <c r="A25" s="37">
        <v>8</v>
      </c>
      <c r="B25" s="52"/>
      <c r="C25" s="53" t="s">
        <v>1159</v>
      </c>
      <c r="D25" s="52"/>
      <c r="E25" s="52"/>
      <c r="F25" s="52"/>
      <c r="G25" s="195">
        <v>295966</v>
      </c>
      <c r="H25" s="80" t="s">
        <v>1160</v>
      </c>
      <c r="I25" s="189"/>
      <c r="J25" s="190"/>
      <c r="K25" s="189"/>
      <c r="L25" s="189"/>
      <c r="M25" s="183">
        <f>+M26+M27</f>
        <v>2846371476</v>
      </c>
    </row>
    <row r="26" spans="1:13" x14ac:dyDescent="0.2">
      <c r="A26" s="37">
        <v>9</v>
      </c>
      <c r="B26" s="52"/>
      <c r="C26" s="53"/>
      <c r="D26" s="52"/>
      <c r="E26" s="52"/>
      <c r="F26" s="52"/>
      <c r="G26" s="195"/>
      <c r="H26" s="80" t="s">
        <v>377</v>
      </c>
      <c r="I26" s="189"/>
      <c r="J26" s="190"/>
      <c r="K26" s="189"/>
      <c r="L26" s="189"/>
      <c r="M26" s="183">
        <v>569274295</v>
      </c>
    </row>
    <row r="27" spans="1:13" x14ac:dyDescent="0.2">
      <c r="A27" s="37">
        <v>9</v>
      </c>
      <c r="B27" s="52"/>
      <c r="C27" s="53"/>
      <c r="D27" s="52"/>
      <c r="E27" s="52"/>
      <c r="F27" s="52"/>
      <c r="G27" s="195"/>
      <c r="H27" s="80" t="s">
        <v>881</v>
      </c>
      <c r="I27" s="189"/>
      <c r="J27" s="190"/>
      <c r="K27" s="189"/>
      <c r="L27" s="189"/>
      <c r="M27" s="183">
        <v>2277097181</v>
      </c>
    </row>
    <row r="28" spans="1:13" ht="38.25" x14ac:dyDescent="0.2">
      <c r="A28" s="37"/>
      <c r="B28" s="52"/>
      <c r="C28" s="53" t="s">
        <v>10</v>
      </c>
      <c r="D28" s="52"/>
      <c r="E28" s="52"/>
      <c r="F28" s="52"/>
      <c r="G28" s="195">
        <v>295966</v>
      </c>
      <c r="H28" s="80" t="s">
        <v>1456</v>
      </c>
      <c r="I28" s="189"/>
      <c r="J28" s="190"/>
      <c r="K28" s="189"/>
      <c r="L28" s="189"/>
      <c r="M28" s="183">
        <f>+M30+M29</f>
        <v>493628524</v>
      </c>
    </row>
    <row r="29" spans="1:13" x14ac:dyDescent="0.2">
      <c r="A29" s="37"/>
      <c r="B29" s="52"/>
      <c r="C29" s="53"/>
      <c r="D29" s="52"/>
      <c r="E29" s="52"/>
      <c r="F29" s="52"/>
      <c r="G29" s="195"/>
      <c r="H29" s="80" t="s">
        <v>881</v>
      </c>
      <c r="I29" s="189"/>
      <c r="J29" s="190"/>
      <c r="K29" s="189"/>
      <c r="L29" s="189"/>
      <c r="M29" s="183">
        <v>246814262</v>
      </c>
    </row>
    <row r="30" spans="1:13" x14ac:dyDescent="0.2">
      <c r="A30" s="37"/>
      <c r="B30" s="52"/>
      <c r="C30" s="53"/>
      <c r="D30" s="52"/>
      <c r="E30" s="52"/>
      <c r="F30" s="52"/>
      <c r="G30" s="195"/>
      <c r="H30" s="80" t="s">
        <v>377</v>
      </c>
      <c r="I30" s="189"/>
      <c r="J30" s="190"/>
      <c r="K30" s="189"/>
      <c r="L30" s="189"/>
      <c r="M30" s="183">
        <v>246814262</v>
      </c>
    </row>
    <row r="31" spans="1:13" x14ac:dyDescent="0.2">
      <c r="A31" s="37"/>
      <c r="B31" s="52"/>
      <c r="C31" s="53"/>
      <c r="D31" s="52"/>
      <c r="E31" s="52"/>
      <c r="F31" s="52"/>
      <c r="G31" s="195"/>
      <c r="H31" s="80"/>
      <c r="I31" s="189"/>
      <c r="J31" s="190"/>
      <c r="K31" s="189"/>
      <c r="L31" s="189"/>
      <c r="M31" s="183"/>
    </row>
    <row r="32" spans="1:13" x14ac:dyDescent="0.2">
      <c r="A32" s="37">
        <v>4</v>
      </c>
      <c r="B32" s="52" t="s">
        <v>450</v>
      </c>
      <c r="C32" s="53"/>
      <c r="D32" s="52"/>
      <c r="E32" s="52"/>
      <c r="F32" s="52"/>
      <c r="G32" s="195"/>
      <c r="H32" s="173" t="s">
        <v>256</v>
      </c>
      <c r="I32" s="214"/>
      <c r="J32" s="216"/>
      <c r="K32" s="214"/>
      <c r="L32" s="214"/>
      <c r="M32" s="91">
        <f>+M37</f>
        <v>12821745740</v>
      </c>
    </row>
    <row r="33" spans="1:13" x14ac:dyDescent="0.2">
      <c r="A33" s="37">
        <v>5</v>
      </c>
      <c r="B33" s="52"/>
      <c r="C33" s="53"/>
      <c r="D33" s="52"/>
      <c r="E33" s="55">
        <v>612</v>
      </c>
      <c r="F33" s="52" t="s">
        <v>268</v>
      </c>
      <c r="G33" s="195"/>
      <c r="H33" s="80" t="s">
        <v>100</v>
      </c>
      <c r="I33" s="196">
        <v>2</v>
      </c>
      <c r="J33" s="190" t="s">
        <v>1001</v>
      </c>
      <c r="K33" s="196"/>
      <c r="L33" s="189" t="s">
        <v>1118</v>
      </c>
      <c r="M33" s="194"/>
    </row>
    <row r="34" spans="1:13" ht="25.5" x14ac:dyDescent="0.2">
      <c r="A34" s="37"/>
      <c r="B34" s="52"/>
      <c r="C34" s="53"/>
      <c r="D34" s="52"/>
      <c r="E34" s="55">
        <v>615</v>
      </c>
      <c r="F34" s="52" t="s">
        <v>268</v>
      </c>
      <c r="G34" s="195"/>
      <c r="H34" s="80" t="s">
        <v>148</v>
      </c>
      <c r="I34" s="196">
        <v>1</v>
      </c>
      <c r="J34" s="190" t="s">
        <v>1001</v>
      </c>
      <c r="K34" s="196"/>
      <c r="L34" s="189"/>
      <c r="M34" s="194"/>
    </row>
    <row r="35" spans="1:13" ht="25.5" x14ac:dyDescent="0.2">
      <c r="A35" s="37"/>
      <c r="B35" s="52"/>
      <c r="C35" s="53"/>
      <c r="D35" s="52"/>
      <c r="E35" s="55">
        <v>621</v>
      </c>
      <c r="F35" s="52" t="s">
        <v>268</v>
      </c>
      <c r="G35" s="195"/>
      <c r="H35" s="80" t="s">
        <v>1162</v>
      </c>
      <c r="I35" s="196">
        <v>8.1999999999999993</v>
      </c>
      <c r="J35" s="190" t="s">
        <v>440</v>
      </c>
      <c r="K35" s="196"/>
      <c r="L35" s="189" t="s">
        <v>422</v>
      </c>
      <c r="M35" s="194"/>
    </row>
    <row r="36" spans="1:13" x14ac:dyDescent="0.2">
      <c r="A36" s="37">
        <v>5</v>
      </c>
      <c r="B36" s="52"/>
      <c r="C36" s="53"/>
      <c r="D36" s="52"/>
      <c r="E36" s="32"/>
      <c r="F36" s="32"/>
      <c r="G36" s="175"/>
      <c r="H36" s="175"/>
      <c r="I36" s="175"/>
      <c r="J36" s="175"/>
      <c r="K36" s="175"/>
      <c r="L36" s="175"/>
      <c r="M36" s="194"/>
    </row>
    <row r="37" spans="1:13" x14ac:dyDescent="0.2">
      <c r="A37" s="37">
        <v>6</v>
      </c>
      <c r="B37" s="52" t="s">
        <v>857</v>
      </c>
      <c r="C37" s="53"/>
      <c r="D37" s="52"/>
      <c r="E37" s="52"/>
      <c r="F37" s="52"/>
      <c r="G37" s="195"/>
      <c r="H37" s="173" t="s">
        <v>312</v>
      </c>
      <c r="I37" s="214"/>
      <c r="J37" s="216"/>
      <c r="K37" s="214"/>
      <c r="L37" s="214"/>
      <c r="M37" s="91">
        <f>+M39+M46</f>
        <v>12821745740</v>
      </c>
    </row>
    <row r="38" spans="1:13" ht="63.75" x14ac:dyDescent="0.2">
      <c r="A38" s="37">
        <v>7</v>
      </c>
      <c r="B38" s="52"/>
      <c r="C38" s="53"/>
      <c r="D38" s="52" t="s">
        <v>597</v>
      </c>
      <c r="E38" s="55">
        <v>576</v>
      </c>
      <c r="F38" s="52" t="s">
        <v>1080</v>
      </c>
      <c r="G38" s="195"/>
      <c r="H38" s="176" t="s">
        <v>847</v>
      </c>
      <c r="I38" s="196">
        <v>45</v>
      </c>
      <c r="J38" s="190" t="s">
        <v>440</v>
      </c>
      <c r="K38" s="196">
        <v>18</v>
      </c>
      <c r="L38" s="189" t="s">
        <v>1163</v>
      </c>
      <c r="M38" s="194"/>
    </row>
    <row r="39" spans="1:13" ht="76.5" x14ac:dyDescent="0.2">
      <c r="A39" s="37">
        <v>8</v>
      </c>
      <c r="B39" s="52"/>
      <c r="C39" s="53" t="s">
        <v>1275</v>
      </c>
      <c r="D39" s="52"/>
      <c r="E39" s="52"/>
      <c r="F39" s="52"/>
      <c r="G39" s="195">
        <v>295967</v>
      </c>
      <c r="H39" s="174" t="s">
        <v>1276</v>
      </c>
      <c r="I39" s="189"/>
      <c r="J39" s="190"/>
      <c r="K39" s="189"/>
      <c r="L39" s="189"/>
      <c r="M39" s="183">
        <f>SUM(M40:M43)+M44</f>
        <v>8774879887</v>
      </c>
    </row>
    <row r="40" spans="1:13" ht="15.75" customHeight="1" x14ac:dyDescent="0.2">
      <c r="A40" s="37">
        <v>9</v>
      </c>
      <c r="B40" s="52"/>
      <c r="C40" s="53"/>
      <c r="D40" s="52"/>
      <c r="E40" s="52"/>
      <c r="F40" s="52"/>
      <c r="G40" s="195"/>
      <c r="H40" s="80" t="s">
        <v>658</v>
      </c>
      <c r="I40" s="189"/>
      <c r="J40" s="190"/>
      <c r="K40" s="189"/>
      <c r="L40" s="189"/>
      <c r="M40" s="183">
        <v>5246360</v>
      </c>
    </row>
    <row r="41" spans="1:13" x14ac:dyDescent="0.2">
      <c r="A41" s="37">
        <v>9</v>
      </c>
      <c r="B41" s="52"/>
      <c r="C41" s="53"/>
      <c r="D41" s="52"/>
      <c r="E41" s="52"/>
      <c r="F41" s="52"/>
      <c r="G41" s="195"/>
      <c r="H41" s="80" t="s">
        <v>835</v>
      </c>
      <c r="I41" s="189"/>
      <c r="J41" s="190"/>
      <c r="K41" s="189"/>
      <c r="L41" s="189"/>
      <c r="M41" s="183">
        <f>226054740+355000000</f>
        <v>581054740</v>
      </c>
    </row>
    <row r="42" spans="1:13" x14ac:dyDescent="0.2">
      <c r="A42" s="37">
        <v>9</v>
      </c>
      <c r="B42" s="52"/>
      <c r="C42" s="53"/>
      <c r="D42" s="52"/>
      <c r="E42" s="52"/>
      <c r="F42" s="52"/>
      <c r="G42" s="195"/>
      <c r="H42" s="80" t="s">
        <v>377</v>
      </c>
      <c r="I42" s="189"/>
      <c r="J42" s="190"/>
      <c r="K42" s="189"/>
      <c r="L42" s="189"/>
      <c r="M42" s="183">
        <f>778869394+1300000000</f>
        <v>2078869394</v>
      </c>
    </row>
    <row r="43" spans="1:13" x14ac:dyDescent="0.2">
      <c r="A43" s="37">
        <v>9</v>
      </c>
      <c r="B43" s="52"/>
      <c r="C43" s="53"/>
      <c r="D43" s="52"/>
      <c r="E43" s="52"/>
      <c r="F43" s="52"/>
      <c r="G43" s="195"/>
      <c r="H43" s="80" t="s">
        <v>881</v>
      </c>
      <c r="I43" s="189"/>
      <c r="J43" s="190"/>
      <c r="K43" s="189"/>
      <c r="L43" s="189"/>
      <c r="M43" s="183">
        <f>3359708836+2750000000-2500000000-917108443</f>
        <v>2692600393</v>
      </c>
    </row>
    <row r="44" spans="1:13" x14ac:dyDescent="0.2">
      <c r="A44" s="37"/>
      <c r="B44" s="52"/>
      <c r="C44" s="53"/>
      <c r="D44" s="52"/>
      <c r="E44" s="52"/>
      <c r="F44" s="52"/>
      <c r="G44" s="195"/>
      <c r="H44" s="218" t="s">
        <v>1520</v>
      </c>
      <c r="I44" s="189"/>
      <c r="J44" s="190"/>
      <c r="K44" s="189"/>
      <c r="L44" s="189"/>
      <c r="M44" s="183">
        <f>2500000000+917109000</f>
        <v>3417109000</v>
      </c>
    </row>
    <row r="45" spans="1:13" x14ac:dyDescent="0.2">
      <c r="A45" s="37"/>
      <c r="B45" s="52"/>
      <c r="C45" s="53"/>
      <c r="D45" s="52"/>
      <c r="E45" s="52"/>
      <c r="F45" s="52"/>
      <c r="G45" s="195"/>
      <c r="H45" s="80"/>
      <c r="I45" s="189"/>
      <c r="J45" s="190"/>
      <c r="K45" s="189"/>
      <c r="L45" s="189"/>
      <c r="M45" s="183"/>
    </row>
    <row r="46" spans="1:13" ht="25.5" x14ac:dyDescent="0.2">
      <c r="A46" s="37"/>
      <c r="B46" s="52"/>
      <c r="C46" s="53" t="s">
        <v>10</v>
      </c>
      <c r="D46" s="52"/>
      <c r="E46" s="52"/>
      <c r="F46" s="52"/>
      <c r="G46" s="195">
        <v>295967</v>
      </c>
      <c r="H46" s="80" t="s">
        <v>1457</v>
      </c>
      <c r="I46" s="189"/>
      <c r="J46" s="190"/>
      <c r="K46" s="189"/>
      <c r="L46" s="189"/>
      <c r="M46" s="183">
        <f>SUM(M47:M51)+M52</f>
        <v>4046865853</v>
      </c>
    </row>
    <row r="47" spans="1:13" ht="15" customHeight="1" x14ac:dyDescent="0.2">
      <c r="A47" s="37"/>
      <c r="B47" s="52"/>
      <c r="C47" s="53"/>
      <c r="D47" s="52"/>
      <c r="E47" s="52"/>
      <c r="F47" s="52"/>
      <c r="G47" s="195"/>
      <c r="H47" s="80" t="s">
        <v>658</v>
      </c>
      <c r="I47" s="189"/>
      <c r="J47" s="190"/>
      <c r="K47" s="189"/>
      <c r="L47" s="189"/>
      <c r="M47" s="183"/>
    </row>
    <row r="48" spans="1:13" x14ac:dyDescent="0.2">
      <c r="A48" s="37"/>
      <c r="B48" s="52"/>
      <c r="C48" s="53"/>
      <c r="D48" s="52"/>
      <c r="E48" s="52"/>
      <c r="F48" s="52"/>
      <c r="G48" s="195"/>
      <c r="H48" s="80" t="s">
        <v>791</v>
      </c>
      <c r="I48" s="189"/>
      <c r="J48" s="190"/>
      <c r="K48" s="189"/>
      <c r="L48" s="189"/>
      <c r="M48" s="183">
        <v>33864000</v>
      </c>
    </row>
    <row r="49" spans="1:137" x14ac:dyDescent="0.2">
      <c r="A49" s="37"/>
      <c r="B49" s="52"/>
      <c r="C49" s="53"/>
      <c r="D49" s="52"/>
      <c r="E49" s="52"/>
      <c r="F49" s="52"/>
      <c r="G49" s="195"/>
      <c r="H49" s="80" t="s">
        <v>835</v>
      </c>
      <c r="I49" s="189"/>
      <c r="J49" s="190"/>
      <c r="K49" s="189"/>
      <c r="L49" s="189"/>
      <c r="M49" s="183"/>
    </row>
    <row r="50" spans="1:137" x14ac:dyDescent="0.2">
      <c r="A50" s="37"/>
      <c r="B50" s="52"/>
      <c r="C50" s="53"/>
      <c r="D50" s="52"/>
      <c r="E50" s="52"/>
      <c r="F50" s="52"/>
      <c r="G50" s="195"/>
      <c r="H50" s="80" t="s">
        <v>377</v>
      </c>
      <c r="I50" s="189"/>
      <c r="J50" s="190"/>
      <c r="K50" s="189"/>
      <c r="L50" s="189"/>
      <c r="M50" s="183">
        <f>1241130606+1066826443</f>
        <v>2307957049</v>
      </c>
    </row>
    <row r="51" spans="1:137" x14ac:dyDescent="0.2">
      <c r="A51" s="37"/>
      <c r="B51" s="52"/>
      <c r="C51" s="53"/>
      <c r="D51" s="52"/>
      <c r="E51" s="52"/>
      <c r="F51" s="52"/>
      <c r="G51" s="195"/>
      <c r="H51" s="80" t="s">
        <v>881</v>
      </c>
      <c r="I51" s="189"/>
      <c r="J51" s="190"/>
      <c r="K51" s="189"/>
      <c r="L51" s="189"/>
      <c r="M51" s="183">
        <f>1705044804-800000000</f>
        <v>905044804</v>
      </c>
    </row>
    <row r="52" spans="1:137" x14ac:dyDescent="0.2">
      <c r="A52" s="37"/>
      <c r="B52" s="52"/>
      <c r="C52" s="53"/>
      <c r="D52" s="52"/>
      <c r="E52" s="52"/>
      <c r="F52" s="52"/>
      <c r="G52" s="195"/>
      <c r="H52" s="218" t="s">
        <v>1520</v>
      </c>
      <c r="I52" s="189"/>
      <c r="J52" s="190"/>
      <c r="K52" s="189"/>
      <c r="L52" s="189"/>
      <c r="M52" s="183">
        <v>800000000</v>
      </c>
    </row>
    <row r="53" spans="1:137" x14ac:dyDescent="0.2">
      <c r="A53" s="37"/>
      <c r="B53" s="52"/>
      <c r="C53" s="53"/>
      <c r="D53" s="52"/>
      <c r="E53" s="52"/>
      <c r="F53" s="52"/>
      <c r="G53" s="195"/>
      <c r="H53" s="80"/>
      <c r="I53" s="189"/>
      <c r="J53" s="190"/>
      <c r="K53" s="189"/>
      <c r="L53" s="189"/>
      <c r="M53" s="183"/>
    </row>
    <row r="54" spans="1:137" ht="15" x14ac:dyDescent="0.25">
      <c r="A54" s="37">
        <v>10</v>
      </c>
      <c r="B54" s="52"/>
      <c r="C54" s="53"/>
      <c r="D54" s="52"/>
      <c r="E54" s="52"/>
      <c r="F54" s="52"/>
      <c r="G54" s="195"/>
      <c r="H54" s="207" t="s">
        <v>1113</v>
      </c>
      <c r="I54" s="208"/>
      <c r="J54" s="207"/>
      <c r="K54" s="208"/>
      <c r="L54" s="208"/>
      <c r="M54" s="202">
        <f>+M10</f>
        <v>25461745740</v>
      </c>
    </row>
    <row r="55" spans="1:137" s="36" customFormat="1" x14ac:dyDescent="0.2">
      <c r="A55" s="32"/>
      <c r="B55" s="69"/>
      <c r="C55" s="70"/>
      <c r="D55" s="69"/>
      <c r="E55" s="69"/>
      <c r="F55" s="69"/>
      <c r="G55" s="61"/>
      <c r="I55" s="69"/>
      <c r="J55" s="70"/>
      <c r="K55" s="69"/>
      <c r="L55" s="69"/>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row>
    <row r="56" spans="1:137" s="36" customFormat="1" x14ac:dyDescent="0.2">
      <c r="A56" s="32"/>
      <c r="B56" s="69"/>
      <c r="C56" s="70"/>
      <c r="D56" s="69"/>
      <c r="E56" s="69"/>
      <c r="F56" s="69"/>
      <c r="G56" s="61"/>
      <c r="I56" s="69"/>
      <c r="J56" s="70"/>
      <c r="K56" s="69"/>
      <c r="L56" s="69"/>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row>
    <row r="57" spans="1:137" s="36" customFormat="1" x14ac:dyDescent="0.2">
      <c r="A57" s="32"/>
      <c r="B57" s="69"/>
      <c r="C57" s="70"/>
      <c r="D57" s="69"/>
      <c r="E57" s="69"/>
      <c r="F57" s="69"/>
      <c r="G57" s="61"/>
      <c r="I57" s="69"/>
      <c r="J57" s="70"/>
      <c r="K57" s="69"/>
      <c r="L57" s="69"/>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row>
    <row r="58" spans="1:137" s="36" customFormat="1" x14ac:dyDescent="0.2">
      <c r="A58" s="32"/>
      <c r="B58" s="69"/>
      <c r="C58" s="70"/>
      <c r="D58" s="69"/>
      <c r="E58" s="69"/>
      <c r="F58" s="69"/>
      <c r="G58" s="61"/>
      <c r="I58" s="69"/>
      <c r="J58" s="70"/>
      <c r="K58" s="69"/>
      <c r="L58" s="69"/>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row>
    <row r="59" spans="1:137" s="36" customFormat="1" x14ac:dyDescent="0.2">
      <c r="A59" s="32"/>
      <c r="B59" s="69"/>
      <c r="C59" s="70"/>
      <c r="D59" s="69"/>
      <c r="E59" s="69"/>
      <c r="F59" s="69"/>
      <c r="G59" s="61"/>
      <c r="I59" s="69"/>
      <c r="J59" s="70"/>
      <c r="K59" s="69"/>
      <c r="L59" s="69"/>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row>
    <row r="60" spans="1:137" s="36" customFormat="1" x14ac:dyDescent="0.2">
      <c r="A60" s="32"/>
      <c r="B60" s="69"/>
      <c r="C60" s="70"/>
      <c r="D60" s="69"/>
      <c r="E60" s="69"/>
      <c r="F60" s="69"/>
      <c r="G60" s="61"/>
      <c r="I60" s="69"/>
      <c r="J60" s="70"/>
      <c r="K60" s="69"/>
      <c r="L60" s="69"/>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row>
    <row r="61" spans="1:137" s="36" customFormat="1" x14ac:dyDescent="0.2">
      <c r="A61" s="32"/>
      <c r="B61" s="69"/>
      <c r="C61" s="70"/>
      <c r="D61" s="69"/>
      <c r="E61" s="69"/>
      <c r="F61" s="69"/>
      <c r="G61" s="61"/>
      <c r="I61" s="69"/>
      <c r="J61" s="70"/>
      <c r="K61" s="69"/>
      <c r="L61" s="69"/>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row>
    <row r="62" spans="1:137" s="36" customFormat="1" x14ac:dyDescent="0.2">
      <c r="A62" s="32"/>
      <c r="B62" s="69"/>
      <c r="C62" s="70"/>
      <c r="D62" s="69"/>
      <c r="E62" s="69"/>
      <c r="F62" s="69"/>
      <c r="G62" s="61"/>
      <c r="I62" s="69"/>
      <c r="J62" s="70"/>
      <c r="K62" s="69"/>
      <c r="L62" s="69"/>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row>
    <row r="63" spans="1:137" s="36" customFormat="1" x14ac:dyDescent="0.2">
      <c r="A63" s="32"/>
      <c r="B63" s="69"/>
      <c r="C63" s="70"/>
      <c r="D63" s="69"/>
      <c r="E63" s="69"/>
      <c r="F63" s="69"/>
      <c r="G63" s="61"/>
      <c r="I63" s="69"/>
      <c r="J63" s="70"/>
      <c r="K63" s="69"/>
      <c r="L63" s="69"/>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row>
    <row r="64" spans="1:137" s="36" customFormat="1" x14ac:dyDescent="0.2">
      <c r="A64" s="32"/>
      <c r="B64" s="69"/>
      <c r="C64" s="70"/>
      <c r="D64" s="69"/>
      <c r="E64" s="69"/>
      <c r="F64" s="69"/>
      <c r="G64" s="61"/>
      <c r="I64" s="69"/>
      <c r="J64" s="70"/>
      <c r="K64" s="69"/>
      <c r="L64" s="69"/>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row>
  </sheetData>
  <mergeCells count="1">
    <mergeCell ref="B2:M2"/>
  </mergeCells>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67"/>
  <sheetViews>
    <sheetView topLeftCell="E50" zoomScale="80" zoomScaleNormal="80" workbookViewId="0">
      <selection activeCell="N65" sqref="N65:BA70"/>
    </sheetView>
  </sheetViews>
  <sheetFormatPr baseColWidth="10" defaultColWidth="9.140625" defaultRowHeight="12.75" x14ac:dyDescent="0.2"/>
  <cols>
    <col min="1" max="1" width="13.42578125" hidden="1" customWidth="1"/>
    <col min="2" max="2" width="9.42578125" style="4" customWidth="1"/>
    <col min="3" max="3" width="18" style="3" customWidth="1"/>
    <col min="4" max="4" width="8.28515625" style="4" customWidth="1"/>
    <col min="5" max="5" width="9.140625" style="4"/>
    <col min="6" max="6" width="11.28515625" style="4" customWidth="1"/>
    <col min="7" max="7" width="8.5703125" style="4" customWidth="1"/>
    <col min="8" max="8" width="62.85546875" style="2" customWidth="1"/>
    <col min="9" max="9" width="11.7109375" style="4" customWidth="1"/>
    <col min="10" max="10" width="16.28515625" style="3" customWidth="1"/>
    <col min="11" max="11" width="16" style="4" customWidth="1"/>
    <col min="12" max="12" width="11" style="4" customWidth="1"/>
    <col min="13" max="13" width="20.28515625" customWidth="1"/>
  </cols>
  <sheetData>
    <row r="1" spans="1:141" x14ac:dyDescent="0.2">
      <c r="B1" s="69"/>
      <c r="C1" s="70"/>
      <c r="D1" s="69"/>
      <c r="E1" s="69"/>
      <c r="F1" s="69"/>
      <c r="G1" s="69"/>
      <c r="H1" s="36"/>
      <c r="I1" s="69"/>
      <c r="J1" s="70"/>
      <c r="K1" s="69"/>
      <c r="L1" s="69"/>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row>
    <row r="2" spans="1:141" ht="24" customHeight="1" x14ac:dyDescent="0.2">
      <c r="B2" s="187" t="s">
        <v>1103</v>
      </c>
      <c r="C2" s="187"/>
      <c r="D2" s="187"/>
      <c r="E2" s="187"/>
      <c r="F2" s="187"/>
      <c r="G2" s="187"/>
      <c r="H2" s="187"/>
      <c r="I2" s="187"/>
      <c r="J2" s="187"/>
      <c r="K2" s="187"/>
      <c r="L2" s="187"/>
      <c r="M2" s="187"/>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row>
    <row r="3" spans="1:141" x14ac:dyDescent="0.2">
      <c r="B3" s="69"/>
      <c r="C3" s="70"/>
      <c r="D3" s="69"/>
      <c r="E3" s="69"/>
      <c r="F3" s="69"/>
      <c r="G3" s="69"/>
      <c r="H3" s="36"/>
      <c r="I3" s="69"/>
      <c r="J3" s="70"/>
      <c r="K3" s="69"/>
      <c r="L3" s="69"/>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row>
    <row r="4" spans="1:141" s="7" customFormat="1" ht="38.25" x14ac:dyDescent="0.2">
      <c r="A4" s="7" t="s">
        <v>641</v>
      </c>
      <c r="B4" s="71" t="s">
        <v>1100</v>
      </c>
      <c r="C4" s="71" t="s">
        <v>1092</v>
      </c>
      <c r="D4" s="184" t="s">
        <v>1091</v>
      </c>
      <c r="E4" s="71" t="s">
        <v>1097</v>
      </c>
      <c r="F4" s="184" t="s">
        <v>1098</v>
      </c>
      <c r="G4" s="184" t="s">
        <v>1093</v>
      </c>
      <c r="H4" s="71" t="s">
        <v>409</v>
      </c>
      <c r="I4" s="71" t="s">
        <v>1094</v>
      </c>
      <c r="J4" s="71" t="s">
        <v>1095</v>
      </c>
      <c r="K4" s="71" t="s">
        <v>1104</v>
      </c>
      <c r="L4" s="71" t="s">
        <v>1096</v>
      </c>
      <c r="M4" s="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3"/>
      <c r="ED4" s="33"/>
      <c r="EE4" s="33"/>
      <c r="EF4" s="33"/>
      <c r="EG4" s="33"/>
      <c r="EH4" s="33"/>
      <c r="EI4" s="33"/>
      <c r="EJ4" s="33"/>
      <c r="EK4" s="33"/>
    </row>
    <row r="5" spans="1:141" x14ac:dyDescent="0.2">
      <c r="B5" s="69"/>
      <c r="C5" s="70"/>
      <c r="D5" s="69"/>
      <c r="E5" s="69"/>
      <c r="F5" s="69"/>
      <c r="G5" s="69"/>
      <c r="H5" s="36"/>
      <c r="I5" s="69"/>
      <c r="J5" s="70"/>
      <c r="K5" s="69"/>
      <c r="L5" s="69"/>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row>
    <row r="6" spans="1:141" ht="15" x14ac:dyDescent="0.25">
      <c r="A6" s="1"/>
      <c r="B6" s="52"/>
      <c r="C6" s="53"/>
      <c r="D6" s="52"/>
      <c r="E6" s="52"/>
      <c r="F6" s="52"/>
      <c r="G6" s="61"/>
      <c r="H6" s="58"/>
      <c r="I6" s="59"/>
      <c r="J6" s="58"/>
      <c r="K6" s="59"/>
      <c r="L6" s="59"/>
      <c r="M6" s="64"/>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row>
    <row r="7" spans="1:141" ht="15.75" x14ac:dyDescent="0.2">
      <c r="A7" s="1">
        <v>0</v>
      </c>
      <c r="B7" s="52"/>
      <c r="C7" s="53"/>
      <c r="D7" s="52"/>
      <c r="E7" s="52"/>
      <c r="F7" s="52"/>
      <c r="G7" s="61"/>
      <c r="H7" s="51" t="s">
        <v>493</v>
      </c>
      <c r="I7" s="52"/>
      <c r="J7" s="53"/>
      <c r="K7" s="52"/>
      <c r="L7" s="52"/>
      <c r="M7" s="54"/>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row>
    <row r="8" spans="1:141" ht="15.75" x14ac:dyDescent="0.2">
      <c r="A8" s="1">
        <v>1</v>
      </c>
      <c r="B8" s="52"/>
      <c r="C8" s="53"/>
      <c r="D8" s="52"/>
      <c r="E8" s="52"/>
      <c r="F8" s="52"/>
      <c r="G8" s="61"/>
      <c r="H8" s="51" t="s">
        <v>7</v>
      </c>
      <c r="I8" s="52"/>
      <c r="J8" s="53"/>
      <c r="K8" s="52"/>
      <c r="L8" s="52"/>
      <c r="M8" s="54"/>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row>
    <row r="9" spans="1:141" x14ac:dyDescent="0.2">
      <c r="A9" s="1">
        <v>2</v>
      </c>
      <c r="B9" s="52"/>
      <c r="C9" s="53"/>
      <c r="D9" s="52"/>
      <c r="E9" s="52"/>
      <c r="F9" s="52"/>
      <c r="G9" s="61"/>
      <c r="H9" s="42"/>
      <c r="I9" s="52"/>
      <c r="J9" s="53"/>
      <c r="K9" s="52"/>
      <c r="L9" s="52"/>
      <c r="M9" s="54"/>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row>
    <row r="10" spans="1:141" x14ac:dyDescent="0.2">
      <c r="A10" s="1">
        <v>3</v>
      </c>
      <c r="B10" s="52" t="s">
        <v>301</v>
      </c>
      <c r="C10" s="53"/>
      <c r="D10" s="52"/>
      <c r="E10" s="52"/>
      <c r="F10" s="52"/>
      <c r="G10" s="61"/>
      <c r="H10" s="56" t="s">
        <v>981</v>
      </c>
      <c r="I10" s="52"/>
      <c r="J10" s="53"/>
      <c r="K10" s="52"/>
      <c r="L10" s="52"/>
      <c r="M10" s="38">
        <f>+M11+M18+M25+M32+M39</f>
        <v>29839000000</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row>
    <row r="11" spans="1:141" x14ac:dyDescent="0.2">
      <c r="A11" s="1">
        <v>4</v>
      </c>
      <c r="B11" s="52" t="s">
        <v>497</v>
      </c>
      <c r="C11" s="53"/>
      <c r="D11" s="52"/>
      <c r="E11" s="52"/>
      <c r="F11" s="52"/>
      <c r="G11" s="61"/>
      <c r="H11" s="56" t="s">
        <v>673</v>
      </c>
      <c r="I11" s="52"/>
      <c r="J11" s="53"/>
      <c r="K11" s="52"/>
      <c r="L11" s="52"/>
      <c r="M11" s="38">
        <f>+M13</f>
        <v>4270000000</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row>
    <row r="12" spans="1:141" ht="25.5" x14ac:dyDescent="0.2">
      <c r="A12" s="1">
        <v>5</v>
      </c>
      <c r="B12" s="52"/>
      <c r="C12" s="53"/>
      <c r="D12" s="52"/>
      <c r="E12" s="55">
        <v>39</v>
      </c>
      <c r="F12" s="52" t="s">
        <v>268</v>
      </c>
      <c r="G12" s="61"/>
      <c r="H12" s="42" t="s">
        <v>403</v>
      </c>
      <c r="I12" s="55">
        <v>35</v>
      </c>
      <c r="J12" s="53" t="s">
        <v>440</v>
      </c>
      <c r="K12" s="55"/>
      <c r="L12" s="52"/>
      <c r="M12" s="54"/>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row>
    <row r="13" spans="1:141" x14ac:dyDescent="0.2">
      <c r="A13" s="1">
        <v>6</v>
      </c>
      <c r="B13" s="52" t="s">
        <v>497</v>
      </c>
      <c r="C13" s="53"/>
      <c r="D13" s="52"/>
      <c r="E13" s="52"/>
      <c r="F13" s="52"/>
      <c r="G13" s="61"/>
      <c r="H13" s="56" t="s">
        <v>316</v>
      </c>
      <c r="I13" s="52"/>
      <c r="J13" s="53"/>
      <c r="K13" s="52"/>
      <c r="L13" s="52"/>
      <c r="M13" s="38">
        <f>+M15</f>
        <v>4270000000</v>
      </c>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row>
    <row r="14" spans="1:141" ht="25.5" x14ac:dyDescent="0.2">
      <c r="A14" s="1">
        <v>7</v>
      </c>
      <c r="B14" s="52"/>
      <c r="C14" s="53"/>
      <c r="D14" s="52" t="s">
        <v>3</v>
      </c>
      <c r="E14" s="55">
        <v>52</v>
      </c>
      <c r="F14" s="52" t="s">
        <v>1080</v>
      </c>
      <c r="G14" s="61"/>
      <c r="H14" s="42" t="s">
        <v>30</v>
      </c>
      <c r="I14" s="55">
        <v>600</v>
      </c>
      <c r="J14" s="53" t="s">
        <v>816</v>
      </c>
      <c r="K14" s="55">
        <v>1093</v>
      </c>
      <c r="L14" s="52" t="s">
        <v>1291</v>
      </c>
      <c r="M14" s="54"/>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row>
    <row r="15" spans="1:141" ht="25.5" x14ac:dyDescent="0.2">
      <c r="A15" s="1">
        <v>8</v>
      </c>
      <c r="B15" s="52"/>
      <c r="C15" s="53" t="s">
        <v>10</v>
      </c>
      <c r="D15" s="52"/>
      <c r="E15" s="52"/>
      <c r="F15" s="52"/>
      <c r="G15" s="61">
        <v>296027</v>
      </c>
      <c r="H15" s="42" t="s">
        <v>826</v>
      </c>
      <c r="I15" s="52"/>
      <c r="J15" s="53"/>
      <c r="K15" s="52"/>
      <c r="L15" s="52"/>
      <c r="M15" s="37">
        <f>+M16</f>
        <v>4270000000</v>
      </c>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row>
    <row r="16" spans="1:141" x14ac:dyDescent="0.2">
      <c r="A16" s="1">
        <v>9</v>
      </c>
      <c r="B16" s="52"/>
      <c r="C16" s="53"/>
      <c r="D16" s="52"/>
      <c r="E16" s="52"/>
      <c r="F16" s="52"/>
      <c r="G16" s="61"/>
      <c r="H16" s="42" t="s">
        <v>362</v>
      </c>
      <c r="I16" s="52"/>
      <c r="J16" s="53"/>
      <c r="K16" s="52"/>
      <c r="L16" s="52"/>
      <c r="M16" s="37">
        <v>4270000000</v>
      </c>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row>
    <row r="17" spans="1:141" x14ac:dyDescent="0.2">
      <c r="A17" s="1"/>
      <c r="B17" s="52"/>
      <c r="C17" s="53"/>
      <c r="D17" s="52"/>
      <c r="E17" s="52"/>
      <c r="F17" s="52"/>
      <c r="G17" s="61"/>
      <c r="H17" s="42"/>
      <c r="I17" s="52"/>
      <c r="J17" s="53"/>
      <c r="K17" s="52"/>
      <c r="L17" s="52"/>
      <c r="M17" s="37"/>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row>
    <row r="18" spans="1:141" x14ac:dyDescent="0.2">
      <c r="A18" s="1">
        <v>4</v>
      </c>
      <c r="B18" s="52" t="s">
        <v>955</v>
      </c>
      <c r="C18" s="53"/>
      <c r="D18" s="52"/>
      <c r="E18" s="52"/>
      <c r="F18" s="52"/>
      <c r="G18" s="61"/>
      <c r="H18" s="56" t="s">
        <v>405</v>
      </c>
      <c r="I18" s="52"/>
      <c r="J18" s="53"/>
      <c r="K18" s="52"/>
      <c r="L18" s="52"/>
      <c r="M18" s="38">
        <f>+M20</f>
        <v>4205000000</v>
      </c>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row>
    <row r="19" spans="1:141" ht="25.5" x14ac:dyDescent="0.2">
      <c r="A19" s="1">
        <v>5</v>
      </c>
      <c r="B19" s="52"/>
      <c r="C19" s="53"/>
      <c r="D19" s="52"/>
      <c r="E19" s="55">
        <v>74</v>
      </c>
      <c r="F19" s="52" t="s">
        <v>268</v>
      </c>
      <c r="G19" s="61"/>
      <c r="H19" s="42" t="s">
        <v>828</v>
      </c>
      <c r="I19" s="55">
        <v>60</v>
      </c>
      <c r="J19" s="53" t="s">
        <v>440</v>
      </c>
      <c r="K19" s="55"/>
      <c r="L19" s="52"/>
      <c r="M19" s="54"/>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row>
    <row r="20" spans="1:141" x14ac:dyDescent="0.2">
      <c r="A20" s="1">
        <v>6</v>
      </c>
      <c r="B20" s="52" t="s">
        <v>497</v>
      </c>
      <c r="C20" s="53"/>
      <c r="D20" s="52"/>
      <c r="E20" s="52"/>
      <c r="F20" s="52"/>
      <c r="G20" s="61"/>
      <c r="H20" s="56" t="s">
        <v>316</v>
      </c>
      <c r="I20" s="52"/>
      <c r="J20" s="53"/>
      <c r="K20" s="52"/>
      <c r="L20" s="52"/>
      <c r="M20" s="38">
        <f>+M22</f>
        <v>4205000000</v>
      </c>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row>
    <row r="21" spans="1:141" ht="25.5" x14ac:dyDescent="0.2">
      <c r="A21" s="1">
        <v>7</v>
      </c>
      <c r="B21" s="52"/>
      <c r="C21" s="53"/>
      <c r="D21" s="52" t="s">
        <v>226</v>
      </c>
      <c r="E21" s="55">
        <v>96</v>
      </c>
      <c r="F21" s="52" t="s">
        <v>1080</v>
      </c>
      <c r="G21" s="61"/>
      <c r="H21" s="42" t="s">
        <v>338</v>
      </c>
      <c r="I21" s="55">
        <v>500</v>
      </c>
      <c r="J21" s="53" t="s">
        <v>816</v>
      </c>
      <c r="K21" s="55">
        <v>1002</v>
      </c>
      <c r="L21" s="52" t="s">
        <v>1233</v>
      </c>
      <c r="M21" s="54"/>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row>
    <row r="22" spans="1:141" ht="25.5" x14ac:dyDescent="0.2">
      <c r="A22" s="1">
        <v>8</v>
      </c>
      <c r="B22" s="52"/>
      <c r="C22" s="53" t="s">
        <v>10</v>
      </c>
      <c r="D22" s="52"/>
      <c r="E22" s="52"/>
      <c r="F22" s="52"/>
      <c r="G22" s="61">
        <v>296025</v>
      </c>
      <c r="H22" s="42" t="s">
        <v>992</v>
      </c>
      <c r="I22" s="52"/>
      <c r="J22" s="53"/>
      <c r="K22" s="52"/>
      <c r="L22" s="52"/>
      <c r="M22" s="37">
        <f>+M23</f>
        <v>4205000000</v>
      </c>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row>
    <row r="23" spans="1:141" x14ac:dyDescent="0.2">
      <c r="A23" s="1">
        <v>9</v>
      </c>
      <c r="B23" s="52"/>
      <c r="C23" s="53"/>
      <c r="D23" s="52"/>
      <c r="E23" s="52"/>
      <c r="F23" s="52"/>
      <c r="G23" s="61"/>
      <c r="H23" s="42" t="s">
        <v>362</v>
      </c>
      <c r="I23" s="52"/>
      <c r="J23" s="53"/>
      <c r="K23" s="52"/>
      <c r="L23" s="52"/>
      <c r="M23" s="37">
        <v>4205000000</v>
      </c>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row>
    <row r="24" spans="1:141" x14ac:dyDescent="0.2">
      <c r="A24" s="1"/>
      <c r="B24" s="52"/>
      <c r="C24" s="53"/>
      <c r="D24" s="52"/>
      <c r="E24" s="52"/>
      <c r="F24" s="52"/>
      <c r="G24" s="61"/>
      <c r="H24" s="42"/>
      <c r="I24" s="52"/>
      <c r="J24" s="53"/>
      <c r="K24" s="52"/>
      <c r="L24" s="52"/>
      <c r="M24" s="37"/>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row>
    <row r="25" spans="1:141" x14ac:dyDescent="0.2">
      <c r="A25" s="1">
        <v>4</v>
      </c>
      <c r="B25" s="52" t="s">
        <v>450</v>
      </c>
      <c r="C25" s="53"/>
      <c r="D25" s="52"/>
      <c r="E25" s="52"/>
      <c r="F25" s="52"/>
      <c r="G25" s="61"/>
      <c r="H25" s="56" t="s">
        <v>299</v>
      </c>
      <c r="I25" s="52"/>
      <c r="J25" s="53"/>
      <c r="K25" s="52"/>
      <c r="L25" s="52"/>
      <c r="M25" s="38">
        <f>+M27</f>
        <v>7910000000</v>
      </c>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row>
    <row r="26" spans="1:141" ht="38.25" x14ac:dyDescent="0.2">
      <c r="A26" s="1">
        <v>5</v>
      </c>
      <c r="B26" s="52"/>
      <c r="C26" s="53"/>
      <c r="D26" s="52"/>
      <c r="E26" s="55">
        <v>179</v>
      </c>
      <c r="F26" s="52" t="s">
        <v>268</v>
      </c>
      <c r="G26" s="61"/>
      <c r="H26" s="42" t="s">
        <v>1057</v>
      </c>
      <c r="I26" s="55">
        <v>5</v>
      </c>
      <c r="J26" s="53" t="s">
        <v>440</v>
      </c>
      <c r="K26" s="55"/>
      <c r="L26" s="52"/>
      <c r="M26" s="54"/>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row>
    <row r="27" spans="1:141" x14ac:dyDescent="0.2">
      <c r="A27" s="1">
        <v>6</v>
      </c>
      <c r="B27" s="52" t="s">
        <v>285</v>
      </c>
      <c r="C27" s="53"/>
      <c r="D27" s="52"/>
      <c r="E27" s="52"/>
      <c r="F27" s="52"/>
      <c r="G27" s="61"/>
      <c r="H27" s="56" t="s">
        <v>439</v>
      </c>
      <c r="I27" s="52"/>
      <c r="J27" s="53"/>
      <c r="K27" s="52"/>
      <c r="L27" s="52"/>
      <c r="M27" s="38">
        <f>+M29</f>
        <v>7910000000</v>
      </c>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row>
    <row r="28" spans="1:141" ht="25.5" x14ac:dyDescent="0.2">
      <c r="A28" s="1">
        <v>7</v>
      </c>
      <c r="B28" s="52"/>
      <c r="C28" s="53"/>
      <c r="D28" s="52" t="s">
        <v>750</v>
      </c>
      <c r="E28" s="55">
        <v>195</v>
      </c>
      <c r="F28" s="52" t="s">
        <v>1080</v>
      </c>
      <c r="G28" s="61"/>
      <c r="H28" s="42" t="s">
        <v>254</v>
      </c>
      <c r="I28" s="55">
        <v>630</v>
      </c>
      <c r="J28" s="53" t="s">
        <v>816</v>
      </c>
      <c r="K28" s="55">
        <v>1483</v>
      </c>
      <c r="L28" s="52" t="s">
        <v>1292</v>
      </c>
      <c r="M28" s="54"/>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row>
    <row r="29" spans="1:141" ht="38.25" x14ac:dyDescent="0.2">
      <c r="A29" s="1">
        <v>8</v>
      </c>
      <c r="B29" s="52"/>
      <c r="C29" s="53" t="s">
        <v>10</v>
      </c>
      <c r="D29" s="52"/>
      <c r="E29" s="52"/>
      <c r="F29" s="52"/>
      <c r="G29" s="61">
        <v>296026</v>
      </c>
      <c r="H29" s="42" t="s">
        <v>649</v>
      </c>
      <c r="I29" s="52"/>
      <c r="J29" s="53"/>
      <c r="K29" s="52"/>
      <c r="L29" s="52"/>
      <c r="M29" s="37">
        <f>+M30</f>
        <v>7910000000</v>
      </c>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row>
    <row r="30" spans="1:141" x14ac:dyDescent="0.2">
      <c r="A30" s="1">
        <v>9</v>
      </c>
      <c r="B30" s="52"/>
      <c r="C30" s="53"/>
      <c r="D30" s="52"/>
      <c r="E30" s="52"/>
      <c r="F30" s="52"/>
      <c r="G30" s="61"/>
      <c r="H30" s="42" t="s">
        <v>362</v>
      </c>
      <c r="I30" s="52"/>
      <c r="J30" s="53"/>
      <c r="K30" s="52"/>
      <c r="L30" s="52"/>
      <c r="M30" s="37">
        <v>7910000000</v>
      </c>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row>
    <row r="31" spans="1:141" x14ac:dyDescent="0.2">
      <c r="A31" s="1"/>
      <c r="B31" s="52"/>
      <c r="C31" s="53"/>
      <c r="D31" s="52"/>
      <c r="E31" s="52"/>
      <c r="F31" s="52"/>
      <c r="G31" s="61"/>
      <c r="H31" s="42"/>
      <c r="I31" s="52"/>
      <c r="J31" s="53"/>
      <c r="K31" s="52"/>
      <c r="L31" s="52"/>
      <c r="M31" s="37"/>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row>
    <row r="32" spans="1:141" x14ac:dyDescent="0.2">
      <c r="A32" s="1">
        <v>4</v>
      </c>
      <c r="B32" s="52" t="s">
        <v>472</v>
      </c>
      <c r="C32" s="53"/>
      <c r="D32" s="52"/>
      <c r="E32" s="52"/>
      <c r="F32" s="52"/>
      <c r="G32" s="61"/>
      <c r="H32" s="56" t="s">
        <v>1012</v>
      </c>
      <c r="I32" s="52"/>
      <c r="J32" s="53"/>
      <c r="K32" s="52"/>
      <c r="L32" s="52"/>
      <c r="M32" s="38">
        <f>+M34</f>
        <v>13054000000</v>
      </c>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row>
    <row r="33" spans="1:141" ht="25.5" x14ac:dyDescent="0.2">
      <c r="A33" s="1">
        <v>5</v>
      </c>
      <c r="B33" s="52"/>
      <c r="C33" s="53"/>
      <c r="D33" s="52"/>
      <c r="E33" s="55">
        <v>201</v>
      </c>
      <c r="F33" s="52" t="s">
        <v>268</v>
      </c>
      <c r="G33" s="61"/>
      <c r="H33" s="42" t="s">
        <v>389</v>
      </c>
      <c r="I33" s="55">
        <v>45000</v>
      </c>
      <c r="J33" s="53" t="s">
        <v>524</v>
      </c>
      <c r="K33" s="55"/>
      <c r="L33" s="52"/>
      <c r="M33" s="54"/>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row>
    <row r="34" spans="1:141" x14ac:dyDescent="0.2">
      <c r="A34" s="1">
        <v>6</v>
      </c>
      <c r="B34" s="52" t="s">
        <v>285</v>
      </c>
      <c r="C34" s="53"/>
      <c r="D34" s="52"/>
      <c r="E34" s="52"/>
      <c r="F34" s="52"/>
      <c r="G34" s="61"/>
      <c r="H34" s="56" t="s">
        <v>418</v>
      </c>
      <c r="I34" s="52"/>
      <c r="J34" s="53"/>
      <c r="K34" s="52"/>
      <c r="L34" s="52"/>
      <c r="M34" s="38">
        <f>+M36</f>
        <v>13054000000</v>
      </c>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row>
    <row r="35" spans="1:141" ht="25.5" x14ac:dyDescent="0.2">
      <c r="A35" s="1">
        <v>7</v>
      </c>
      <c r="B35" s="52"/>
      <c r="C35" s="53"/>
      <c r="D35" s="52" t="s">
        <v>979</v>
      </c>
      <c r="E35" s="55">
        <v>234</v>
      </c>
      <c r="F35" s="52" t="s">
        <v>1080</v>
      </c>
      <c r="G35" s="61"/>
      <c r="H35" s="42" t="s">
        <v>109</v>
      </c>
      <c r="I35" s="55">
        <v>1200</v>
      </c>
      <c r="J35" s="53" t="s">
        <v>816</v>
      </c>
      <c r="K35" s="55">
        <v>2291</v>
      </c>
      <c r="L35" s="52" t="s">
        <v>1293</v>
      </c>
      <c r="M35" s="54"/>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row>
    <row r="36" spans="1:141" ht="38.25" x14ac:dyDescent="0.2">
      <c r="A36" s="1">
        <v>8</v>
      </c>
      <c r="B36" s="52"/>
      <c r="C36" s="53" t="s">
        <v>10</v>
      </c>
      <c r="D36" s="52"/>
      <c r="E36" s="52"/>
      <c r="F36" s="52"/>
      <c r="G36" s="61">
        <v>296032</v>
      </c>
      <c r="H36" s="42" t="s">
        <v>197</v>
      </c>
      <c r="I36" s="52"/>
      <c r="J36" s="53"/>
      <c r="K36" s="52"/>
      <c r="L36" s="52"/>
      <c r="M36" s="37">
        <f>+M37</f>
        <v>13054000000</v>
      </c>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row>
    <row r="37" spans="1:141" x14ac:dyDescent="0.2">
      <c r="A37" s="1">
        <v>9</v>
      </c>
      <c r="B37" s="52"/>
      <c r="C37" s="53"/>
      <c r="D37" s="52"/>
      <c r="E37" s="52"/>
      <c r="F37" s="52"/>
      <c r="G37" s="61"/>
      <c r="H37" s="42" t="s">
        <v>362</v>
      </c>
      <c r="I37" s="52"/>
      <c r="J37" s="53"/>
      <c r="K37" s="52"/>
      <c r="L37" s="52"/>
      <c r="M37" s="37">
        <v>13054000000</v>
      </c>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row>
    <row r="38" spans="1:141" x14ac:dyDescent="0.2">
      <c r="A38" s="1"/>
      <c r="B38" s="52"/>
      <c r="C38" s="53"/>
      <c r="D38" s="52"/>
      <c r="E38" s="52"/>
      <c r="F38" s="52"/>
      <c r="G38" s="61"/>
      <c r="H38" s="42"/>
      <c r="I38" s="52"/>
      <c r="J38" s="53"/>
      <c r="K38" s="52"/>
      <c r="L38" s="52"/>
      <c r="M38" s="37"/>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row>
    <row r="39" spans="1:141" ht="25.5" x14ac:dyDescent="0.2">
      <c r="A39" s="1">
        <v>4</v>
      </c>
      <c r="B39" s="52" t="s">
        <v>114</v>
      </c>
      <c r="C39" s="53"/>
      <c r="D39" s="52"/>
      <c r="E39" s="52"/>
      <c r="F39" s="52"/>
      <c r="G39" s="61"/>
      <c r="H39" s="56" t="s">
        <v>457</v>
      </c>
      <c r="I39" s="52"/>
      <c r="J39" s="53"/>
      <c r="K39" s="52"/>
      <c r="L39" s="52"/>
      <c r="M39" s="38">
        <f>+M41</f>
        <v>400000000</v>
      </c>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row>
    <row r="40" spans="1:141" ht="25.5" x14ac:dyDescent="0.2">
      <c r="A40" s="1">
        <v>5</v>
      </c>
      <c r="B40" s="52"/>
      <c r="C40" s="53"/>
      <c r="D40" s="52"/>
      <c r="E40" s="55">
        <v>257</v>
      </c>
      <c r="F40" s="52" t="s">
        <v>268</v>
      </c>
      <c r="G40" s="61"/>
      <c r="H40" s="42" t="s">
        <v>155</v>
      </c>
      <c r="I40" s="55">
        <v>116</v>
      </c>
      <c r="J40" s="53" t="s">
        <v>286</v>
      </c>
      <c r="K40" s="55"/>
      <c r="L40" s="52"/>
      <c r="M40" s="54"/>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row>
    <row r="41" spans="1:141" x14ac:dyDescent="0.2">
      <c r="A41" s="1">
        <v>6</v>
      </c>
      <c r="B41" s="52" t="s">
        <v>857</v>
      </c>
      <c r="C41" s="53"/>
      <c r="D41" s="52"/>
      <c r="E41" s="52"/>
      <c r="F41" s="52"/>
      <c r="G41" s="61"/>
      <c r="H41" s="56" t="s">
        <v>288</v>
      </c>
      <c r="I41" s="52"/>
      <c r="J41" s="53"/>
      <c r="K41" s="52"/>
      <c r="L41" s="52"/>
      <c r="M41" s="38">
        <f>+M43+M45</f>
        <v>400000000</v>
      </c>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row>
    <row r="42" spans="1:141" ht="25.5" x14ac:dyDescent="0.2">
      <c r="A42" s="1">
        <v>7</v>
      </c>
      <c r="B42" s="52"/>
      <c r="C42" s="53"/>
      <c r="D42" s="52" t="s">
        <v>1037</v>
      </c>
      <c r="E42" s="55">
        <v>263</v>
      </c>
      <c r="F42" s="52" t="s">
        <v>1080</v>
      </c>
      <c r="G42" s="61"/>
      <c r="H42" s="42" t="s">
        <v>135</v>
      </c>
      <c r="I42" s="55">
        <v>50</v>
      </c>
      <c r="J42" s="53" t="s">
        <v>130</v>
      </c>
      <c r="K42" s="55">
        <v>0</v>
      </c>
      <c r="L42" s="52" t="s">
        <v>301</v>
      </c>
      <c r="M42" s="54"/>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row>
    <row r="43" spans="1:141" ht="38.25" x14ac:dyDescent="0.2">
      <c r="A43" s="1">
        <v>8</v>
      </c>
      <c r="B43" s="52"/>
      <c r="C43" s="53" t="s">
        <v>10</v>
      </c>
      <c r="D43" s="52"/>
      <c r="E43" s="52"/>
      <c r="F43" s="52"/>
      <c r="G43" s="61">
        <v>296044</v>
      </c>
      <c r="H43" s="42" t="s">
        <v>467</v>
      </c>
      <c r="I43" s="52"/>
      <c r="J43" s="53"/>
      <c r="K43" s="52"/>
      <c r="L43" s="52"/>
      <c r="M43" s="37">
        <f>+M44</f>
        <v>100000000</v>
      </c>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row>
    <row r="44" spans="1:141" x14ac:dyDescent="0.2">
      <c r="A44" s="1">
        <v>9</v>
      </c>
      <c r="B44" s="52"/>
      <c r="C44" s="53"/>
      <c r="D44" s="52"/>
      <c r="E44" s="52"/>
      <c r="F44" s="52"/>
      <c r="G44" s="61"/>
      <c r="H44" s="42" t="s">
        <v>362</v>
      </c>
      <c r="I44" s="52"/>
      <c r="J44" s="53"/>
      <c r="K44" s="52"/>
      <c r="L44" s="52"/>
      <c r="M44" s="37">
        <v>100000000</v>
      </c>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row>
    <row r="45" spans="1:141" ht="25.5" x14ac:dyDescent="0.2">
      <c r="A45" s="1">
        <v>8</v>
      </c>
      <c r="B45" s="52"/>
      <c r="C45" s="53" t="s">
        <v>10</v>
      </c>
      <c r="D45" s="52"/>
      <c r="E45" s="52"/>
      <c r="F45" s="52"/>
      <c r="G45" s="61">
        <v>296094</v>
      </c>
      <c r="H45" s="42" t="s">
        <v>59</v>
      </c>
      <c r="I45" s="52"/>
      <c r="J45" s="53"/>
      <c r="K45" s="52"/>
      <c r="L45" s="52"/>
      <c r="M45" s="37">
        <f>+M46</f>
        <v>300000000</v>
      </c>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row>
    <row r="46" spans="1:141" x14ac:dyDescent="0.2">
      <c r="A46" s="1">
        <v>9</v>
      </c>
      <c r="B46" s="52"/>
      <c r="C46" s="53"/>
      <c r="D46" s="52"/>
      <c r="E46" s="52"/>
      <c r="F46" s="52"/>
      <c r="G46" s="61"/>
      <c r="H46" s="42" t="s">
        <v>362</v>
      </c>
      <c r="I46" s="52"/>
      <c r="J46" s="53"/>
      <c r="K46" s="52"/>
      <c r="L46" s="52"/>
      <c r="M46" s="37">
        <v>300000000</v>
      </c>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row>
    <row r="47" spans="1:141" x14ac:dyDescent="0.2">
      <c r="A47" s="1"/>
      <c r="B47" s="52"/>
      <c r="C47" s="53"/>
      <c r="D47" s="52"/>
      <c r="E47" s="52"/>
      <c r="F47" s="52"/>
      <c r="G47" s="61"/>
      <c r="H47" s="42"/>
      <c r="I47" s="52"/>
      <c r="J47" s="53"/>
      <c r="K47" s="52"/>
      <c r="L47" s="52"/>
      <c r="M47" s="37" t="s">
        <v>1115</v>
      </c>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row>
    <row r="48" spans="1:141" ht="25.5" x14ac:dyDescent="0.2">
      <c r="A48" s="1">
        <v>3</v>
      </c>
      <c r="B48" s="52" t="s">
        <v>841</v>
      </c>
      <c r="C48" s="53"/>
      <c r="D48" s="52"/>
      <c r="E48" s="52"/>
      <c r="F48" s="52"/>
      <c r="G48" s="61"/>
      <c r="H48" s="56" t="s">
        <v>165</v>
      </c>
      <c r="I48" s="52"/>
      <c r="J48" s="53"/>
      <c r="K48" s="52"/>
      <c r="L48" s="52"/>
      <c r="M48" s="38">
        <f>+M49++M58</f>
        <v>195100000</v>
      </c>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row>
    <row r="49" spans="1:141" x14ac:dyDescent="0.2">
      <c r="A49" s="1">
        <v>4</v>
      </c>
      <c r="B49" s="52" t="s">
        <v>497</v>
      </c>
      <c r="C49" s="53"/>
      <c r="D49" s="52"/>
      <c r="E49" s="52"/>
      <c r="F49" s="52"/>
      <c r="G49" s="61"/>
      <c r="H49" s="56" t="s">
        <v>355</v>
      </c>
      <c r="I49" s="52"/>
      <c r="J49" s="53"/>
      <c r="K49" s="52"/>
      <c r="L49" s="52"/>
      <c r="M49" s="38">
        <f>+M51</f>
        <v>65100000</v>
      </c>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row>
    <row r="50" spans="1:141" ht="25.5" x14ac:dyDescent="0.2">
      <c r="A50" s="1">
        <v>5</v>
      </c>
      <c r="B50" s="52"/>
      <c r="C50" s="53"/>
      <c r="D50" s="52"/>
      <c r="E50" s="55">
        <v>613</v>
      </c>
      <c r="F50" s="52" t="s">
        <v>268</v>
      </c>
      <c r="G50" s="61"/>
      <c r="H50" s="42" t="s">
        <v>613</v>
      </c>
      <c r="I50" s="55">
        <v>15</v>
      </c>
      <c r="J50" s="53" t="s">
        <v>440</v>
      </c>
      <c r="K50" s="55"/>
      <c r="L50" s="52"/>
      <c r="M50" s="54"/>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row>
    <row r="51" spans="1:141" x14ac:dyDescent="0.2">
      <c r="A51" s="1">
        <v>6</v>
      </c>
      <c r="B51" s="52" t="s">
        <v>955</v>
      </c>
      <c r="C51" s="53"/>
      <c r="D51" s="52"/>
      <c r="E51" s="52"/>
      <c r="F51" s="52"/>
      <c r="G51" s="61"/>
      <c r="H51" s="56" t="s">
        <v>557</v>
      </c>
      <c r="I51" s="52"/>
      <c r="J51" s="53"/>
      <c r="K51" s="52"/>
      <c r="L51" s="52"/>
      <c r="M51" s="38">
        <f>+M53+M55</f>
        <v>65100000</v>
      </c>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row>
    <row r="52" spans="1:141" ht="38.25" x14ac:dyDescent="0.2">
      <c r="A52" s="1">
        <v>7</v>
      </c>
      <c r="B52" s="52"/>
      <c r="C52" s="53"/>
      <c r="D52" s="52" t="s">
        <v>597</v>
      </c>
      <c r="E52" s="55">
        <v>531</v>
      </c>
      <c r="F52" s="52" t="s">
        <v>1080</v>
      </c>
      <c r="G52" s="61"/>
      <c r="H52" s="42" t="s">
        <v>314</v>
      </c>
      <c r="I52" s="55">
        <v>80</v>
      </c>
      <c r="J52" s="53" t="s">
        <v>179</v>
      </c>
      <c r="K52" s="52" t="s">
        <v>1294</v>
      </c>
      <c r="L52" s="52" t="s">
        <v>1294</v>
      </c>
      <c r="M52" s="54"/>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row>
    <row r="53" spans="1:141" ht="38.25" x14ac:dyDescent="0.2">
      <c r="A53" s="1">
        <v>8</v>
      </c>
      <c r="B53" s="52"/>
      <c r="C53" s="53" t="s">
        <v>10</v>
      </c>
      <c r="D53" s="52"/>
      <c r="E53" s="52"/>
      <c r="F53" s="52"/>
      <c r="G53" s="61">
        <v>296048</v>
      </c>
      <c r="H53" s="42" t="s">
        <v>441</v>
      </c>
      <c r="I53" s="52"/>
      <c r="J53" s="53"/>
      <c r="K53" s="52"/>
      <c r="L53" s="52"/>
      <c r="M53" s="37">
        <f>+M54</f>
        <v>44100000</v>
      </c>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row>
    <row r="54" spans="1:141" x14ac:dyDescent="0.2">
      <c r="A54" s="1">
        <v>9</v>
      </c>
      <c r="B54" s="52"/>
      <c r="C54" s="53"/>
      <c r="D54" s="52"/>
      <c r="E54" s="52"/>
      <c r="F54" s="52"/>
      <c r="G54" s="61"/>
      <c r="H54" s="42" t="s">
        <v>362</v>
      </c>
      <c r="I54" s="52"/>
      <c r="J54" s="53"/>
      <c r="K54" s="52"/>
      <c r="L54" s="52"/>
      <c r="M54" s="37">
        <v>44100000</v>
      </c>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row>
    <row r="55" spans="1:141" ht="25.5" x14ac:dyDescent="0.2">
      <c r="A55" s="1">
        <v>8</v>
      </c>
      <c r="B55" s="52"/>
      <c r="C55" s="53" t="s">
        <v>10</v>
      </c>
      <c r="D55" s="52"/>
      <c r="E55" s="52"/>
      <c r="F55" s="52"/>
      <c r="G55" s="61">
        <v>296046</v>
      </c>
      <c r="H55" s="42" t="s">
        <v>112</v>
      </c>
      <c r="I55" s="52"/>
      <c r="J55" s="53"/>
      <c r="K55" s="52"/>
      <c r="L55" s="52"/>
      <c r="M55" s="37">
        <f>+M56</f>
        <v>21000000</v>
      </c>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row>
    <row r="56" spans="1:141" x14ac:dyDescent="0.2">
      <c r="A56" s="1">
        <v>9</v>
      </c>
      <c r="B56" s="52"/>
      <c r="C56" s="53"/>
      <c r="D56" s="52"/>
      <c r="E56" s="52"/>
      <c r="F56" s="52"/>
      <c r="G56" s="61"/>
      <c r="H56" s="42" t="s">
        <v>362</v>
      </c>
      <c r="I56" s="52"/>
      <c r="J56" s="53"/>
      <c r="K56" s="52"/>
      <c r="L56" s="52"/>
      <c r="M56" s="37">
        <v>21000000</v>
      </c>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row>
    <row r="57" spans="1:141" x14ac:dyDescent="0.2">
      <c r="A57" s="1"/>
      <c r="B57" s="52"/>
      <c r="C57" s="53"/>
      <c r="D57" s="52"/>
      <c r="E57" s="52"/>
      <c r="F57" s="52"/>
      <c r="G57" s="61"/>
      <c r="H57" s="42"/>
      <c r="I57" s="52"/>
      <c r="J57" s="53"/>
      <c r="K57" s="52"/>
      <c r="L57" s="52"/>
      <c r="M57" s="37"/>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row>
    <row r="58" spans="1:141" ht="25.5" x14ac:dyDescent="0.2">
      <c r="A58" s="1">
        <v>4</v>
      </c>
      <c r="B58" s="52" t="s">
        <v>1069</v>
      </c>
      <c r="C58" s="53"/>
      <c r="D58" s="52"/>
      <c r="E58" s="52"/>
      <c r="F58" s="52"/>
      <c r="G58" s="61"/>
      <c r="H58" s="56" t="s">
        <v>739</v>
      </c>
      <c r="I58" s="52"/>
      <c r="J58" s="53"/>
      <c r="K58" s="52"/>
      <c r="L58" s="52"/>
      <c r="M58" s="38">
        <f>+M60</f>
        <v>130000000</v>
      </c>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row>
    <row r="59" spans="1:141" ht="25.5" x14ac:dyDescent="0.2">
      <c r="A59" s="1">
        <v>5</v>
      </c>
      <c r="B59" s="52"/>
      <c r="C59" s="53"/>
      <c r="D59" s="52"/>
      <c r="E59" s="55">
        <v>622</v>
      </c>
      <c r="F59" s="52" t="s">
        <v>268</v>
      </c>
      <c r="G59" s="61"/>
      <c r="H59" s="42" t="s">
        <v>372</v>
      </c>
      <c r="I59" s="55">
        <v>1</v>
      </c>
      <c r="J59" s="53" t="s">
        <v>107</v>
      </c>
      <c r="K59" s="55"/>
      <c r="L59" s="52"/>
      <c r="M59" s="54"/>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row>
    <row r="60" spans="1:141" ht="25.5" x14ac:dyDescent="0.2">
      <c r="A60" s="1">
        <v>6</v>
      </c>
      <c r="B60" s="52" t="s">
        <v>857</v>
      </c>
      <c r="C60" s="53"/>
      <c r="D60" s="52"/>
      <c r="E60" s="52"/>
      <c r="F60" s="52"/>
      <c r="G60" s="61"/>
      <c r="H60" s="56" t="s">
        <v>42</v>
      </c>
      <c r="I60" s="52"/>
      <c r="J60" s="53"/>
      <c r="K60" s="52"/>
      <c r="L60" s="52"/>
      <c r="M60" s="38">
        <f>+M62</f>
        <v>130000000</v>
      </c>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row>
    <row r="61" spans="1:141" ht="38.25" x14ac:dyDescent="0.2">
      <c r="A61" s="1">
        <v>7</v>
      </c>
      <c r="B61" s="52"/>
      <c r="C61" s="53"/>
      <c r="D61" s="52" t="s">
        <v>63</v>
      </c>
      <c r="E61" s="55">
        <v>596</v>
      </c>
      <c r="F61" s="52" t="s">
        <v>1080</v>
      </c>
      <c r="G61" s="61"/>
      <c r="H61" s="42" t="s">
        <v>949</v>
      </c>
      <c r="I61" s="55">
        <v>1</v>
      </c>
      <c r="J61" s="53" t="s">
        <v>924</v>
      </c>
      <c r="K61" s="52">
        <v>0.01</v>
      </c>
      <c r="L61" s="52" t="s">
        <v>1295</v>
      </c>
      <c r="M61" s="54"/>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row>
    <row r="62" spans="1:141" ht="38.25" x14ac:dyDescent="0.2">
      <c r="A62" s="1">
        <v>8</v>
      </c>
      <c r="B62" s="52"/>
      <c r="C62" s="53" t="s">
        <v>10</v>
      </c>
      <c r="D62" s="52"/>
      <c r="E62" s="52"/>
      <c r="F62" s="52"/>
      <c r="G62" s="61">
        <v>296047</v>
      </c>
      <c r="H62" s="42" t="s">
        <v>499</v>
      </c>
      <c r="I62" s="52"/>
      <c r="J62" s="53"/>
      <c r="K62" s="52"/>
      <c r="L62" s="52"/>
      <c r="M62" s="37">
        <f>+M63</f>
        <v>130000000</v>
      </c>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row>
    <row r="63" spans="1:141" x14ac:dyDescent="0.2">
      <c r="A63" s="1">
        <v>9</v>
      </c>
      <c r="B63" s="52"/>
      <c r="C63" s="53"/>
      <c r="D63" s="52"/>
      <c r="E63" s="52"/>
      <c r="F63" s="52"/>
      <c r="G63" s="61"/>
      <c r="H63" s="42" t="s">
        <v>362</v>
      </c>
      <c r="I63" s="52"/>
      <c r="J63" s="53"/>
      <c r="K63" s="52"/>
      <c r="L63" s="52"/>
      <c r="M63" s="37">
        <v>130000000</v>
      </c>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row>
    <row r="64" spans="1:141" x14ac:dyDescent="0.2">
      <c r="A64" s="1"/>
      <c r="B64" s="52"/>
      <c r="C64" s="53"/>
      <c r="D64" s="52"/>
      <c r="E64" s="52"/>
      <c r="F64" s="52"/>
      <c r="G64" s="61"/>
      <c r="H64" s="42"/>
      <c r="I64" s="52"/>
      <c r="J64" s="53"/>
      <c r="K64" s="52"/>
      <c r="L64" s="52"/>
      <c r="M64" s="37"/>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row>
    <row r="65" spans="1:141" ht="15" x14ac:dyDescent="0.25">
      <c r="A65" s="1">
        <v>10</v>
      </c>
      <c r="B65" s="52"/>
      <c r="C65" s="53"/>
      <c r="D65" s="52"/>
      <c r="E65" s="52"/>
      <c r="F65" s="52"/>
      <c r="G65" s="61"/>
      <c r="H65" s="58" t="s">
        <v>158</v>
      </c>
      <c r="I65" s="59"/>
      <c r="J65" s="58"/>
      <c r="K65" s="59"/>
      <c r="L65" s="59"/>
      <c r="M65" s="64">
        <f>+M48+M10</f>
        <v>30034100000</v>
      </c>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row>
    <row r="66" spans="1:141" x14ac:dyDescent="0.2">
      <c r="A66" s="1"/>
      <c r="B66" s="52"/>
      <c r="C66" s="53"/>
      <c r="D66" s="52"/>
      <c r="E66" s="52"/>
      <c r="F66" s="52"/>
      <c r="G66" s="61"/>
      <c r="H66" s="42"/>
      <c r="I66" s="52"/>
      <c r="J66" s="53"/>
      <c r="K66" s="52"/>
      <c r="L66" s="52"/>
      <c r="M66" s="37"/>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row>
    <row r="67" spans="1:141" x14ac:dyDescent="0.2">
      <c r="B67" s="69"/>
      <c r="C67" s="70"/>
      <c r="D67" s="69"/>
      <c r="E67" s="69"/>
      <c r="F67" s="69"/>
      <c r="G67" s="69"/>
      <c r="H67" s="36"/>
      <c r="I67" s="69"/>
      <c r="J67" s="70"/>
      <c r="K67" s="69"/>
      <c r="L67" s="69"/>
      <c r="M67" s="32"/>
    </row>
  </sheetData>
  <mergeCells count="1">
    <mergeCell ref="B2:M2"/>
  </mergeCells>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23"/>
  <sheetViews>
    <sheetView topLeftCell="G25" zoomScale="80" zoomScaleNormal="80" workbookViewId="0">
      <selection activeCell="N118" sqref="N118:BF118"/>
    </sheetView>
  </sheetViews>
  <sheetFormatPr baseColWidth="10" defaultColWidth="9.140625" defaultRowHeight="12.75" x14ac:dyDescent="0.2"/>
  <cols>
    <col min="1" max="1" width="13.42578125" style="32" hidden="1" customWidth="1"/>
    <col min="2" max="2" width="9.42578125" style="69" customWidth="1"/>
    <col min="3" max="3" width="18" style="70" customWidth="1"/>
    <col min="4" max="4" width="8.28515625" style="69" customWidth="1"/>
    <col min="5" max="5" width="9.140625" style="69"/>
    <col min="6" max="6" width="12.85546875" style="69" customWidth="1"/>
    <col min="7" max="7" width="10" style="69" customWidth="1"/>
    <col min="8" max="8" width="69.140625"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1" spans="1:140" x14ac:dyDescent="0.2">
      <c r="B1" s="192"/>
      <c r="C1" s="193"/>
      <c r="D1" s="192"/>
      <c r="E1" s="192"/>
      <c r="F1" s="192"/>
      <c r="G1" s="192"/>
      <c r="H1" s="170"/>
      <c r="I1" s="192"/>
      <c r="J1" s="193"/>
      <c r="K1" s="192"/>
      <c r="L1" s="192"/>
      <c r="M1" s="175"/>
    </row>
    <row r="2" spans="1:140" ht="24" customHeight="1" x14ac:dyDescent="0.2">
      <c r="B2" s="210" t="s">
        <v>1103</v>
      </c>
      <c r="C2" s="210"/>
      <c r="D2" s="210"/>
      <c r="E2" s="210"/>
      <c r="F2" s="210"/>
      <c r="G2" s="210"/>
      <c r="H2" s="210"/>
      <c r="I2" s="210"/>
      <c r="J2" s="210"/>
      <c r="K2" s="210"/>
      <c r="L2" s="210"/>
      <c r="M2" s="210"/>
    </row>
    <row r="3" spans="1:140" x14ac:dyDescent="0.2">
      <c r="B3" s="192"/>
      <c r="C3" s="193"/>
      <c r="D3" s="192"/>
      <c r="E3" s="192"/>
      <c r="F3" s="192"/>
      <c r="G3" s="192"/>
      <c r="H3" s="170"/>
      <c r="I3" s="192"/>
      <c r="J3" s="193"/>
      <c r="K3" s="192"/>
      <c r="L3" s="192"/>
      <c r="M3" s="175"/>
    </row>
    <row r="4" spans="1:140" s="33" customFormat="1" ht="38.25" x14ac:dyDescent="0.2">
      <c r="A4" s="33" t="s">
        <v>641</v>
      </c>
      <c r="B4" s="171" t="s">
        <v>1100</v>
      </c>
      <c r="C4" s="171" t="s">
        <v>1092</v>
      </c>
      <c r="D4" s="205" t="s">
        <v>1091</v>
      </c>
      <c r="E4" s="171" t="s">
        <v>1097</v>
      </c>
      <c r="F4" s="205" t="s">
        <v>1098</v>
      </c>
      <c r="G4" s="205" t="s">
        <v>1093</v>
      </c>
      <c r="H4" s="171" t="s">
        <v>409</v>
      </c>
      <c r="I4" s="171" t="s">
        <v>1094</v>
      </c>
      <c r="J4" s="171" t="s">
        <v>1095</v>
      </c>
      <c r="K4" s="171" t="s">
        <v>1104</v>
      </c>
      <c r="L4" s="171" t="s">
        <v>1096</v>
      </c>
      <c r="M4" s="1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row>
    <row r="5" spans="1:140" x14ac:dyDescent="0.2">
      <c r="B5" s="192"/>
      <c r="C5" s="193"/>
      <c r="D5" s="192"/>
      <c r="E5" s="192"/>
      <c r="F5" s="192"/>
      <c r="G5" s="192"/>
      <c r="H5" s="170"/>
      <c r="I5" s="192"/>
      <c r="J5" s="193"/>
      <c r="K5" s="192"/>
      <c r="L5" s="192"/>
      <c r="M5" s="175"/>
    </row>
    <row r="6" spans="1:140" x14ac:dyDescent="0.2">
      <c r="A6" s="37"/>
      <c r="B6" s="189"/>
      <c r="C6" s="190"/>
      <c r="D6" s="189"/>
      <c r="E6" s="189"/>
      <c r="F6" s="189"/>
      <c r="G6" s="195"/>
      <c r="H6" s="80"/>
      <c r="I6" s="189"/>
      <c r="J6" s="190"/>
      <c r="K6" s="189"/>
      <c r="L6" s="189"/>
      <c r="M6" s="183"/>
    </row>
    <row r="7" spans="1:140" ht="15.75" x14ac:dyDescent="0.2">
      <c r="A7" s="37">
        <v>0</v>
      </c>
      <c r="B7" s="189"/>
      <c r="C7" s="190"/>
      <c r="D7" s="189"/>
      <c r="E7" s="189"/>
      <c r="F7" s="189"/>
      <c r="G7" s="195"/>
      <c r="H7" s="172" t="s">
        <v>943</v>
      </c>
      <c r="I7" s="189"/>
      <c r="J7" s="190"/>
      <c r="K7" s="189"/>
      <c r="L7" s="189"/>
      <c r="M7" s="194"/>
    </row>
    <row r="8" spans="1:140" ht="31.5" x14ac:dyDescent="0.2">
      <c r="A8" s="37">
        <v>1</v>
      </c>
      <c r="B8" s="189"/>
      <c r="C8" s="190"/>
      <c r="D8" s="189"/>
      <c r="E8" s="189"/>
      <c r="F8" s="189"/>
      <c r="G8" s="195"/>
      <c r="H8" s="172" t="s">
        <v>690</v>
      </c>
      <c r="I8" s="189"/>
      <c r="J8" s="190"/>
      <c r="K8" s="189"/>
      <c r="L8" s="189"/>
      <c r="M8" s="194"/>
    </row>
    <row r="9" spans="1:140" x14ac:dyDescent="0.2">
      <c r="A9" s="37">
        <v>2</v>
      </c>
      <c r="B9" s="189"/>
      <c r="C9" s="190"/>
      <c r="D9" s="189"/>
      <c r="E9" s="189"/>
      <c r="F9" s="189"/>
      <c r="G9" s="195"/>
      <c r="H9" s="80"/>
      <c r="I9" s="189"/>
      <c r="J9" s="190"/>
      <c r="K9" s="189"/>
      <c r="L9" s="189"/>
      <c r="M9" s="194"/>
    </row>
    <row r="10" spans="1:140" x14ac:dyDescent="0.2">
      <c r="A10" s="37">
        <v>3</v>
      </c>
      <c r="B10" s="189" t="s">
        <v>301</v>
      </c>
      <c r="C10" s="190"/>
      <c r="D10" s="189"/>
      <c r="E10" s="189"/>
      <c r="F10" s="189"/>
      <c r="G10" s="195"/>
      <c r="H10" s="173" t="s">
        <v>981</v>
      </c>
      <c r="I10" s="189"/>
      <c r="J10" s="190"/>
      <c r="K10" s="189"/>
      <c r="L10" s="189"/>
      <c r="M10" s="91">
        <f>+M11+M19+M32+M45+M66+M78+M86+M104</f>
        <v>16315805000</v>
      </c>
    </row>
    <row r="11" spans="1:140" x14ac:dyDescent="0.2">
      <c r="A11" s="37">
        <v>4</v>
      </c>
      <c r="B11" s="189" t="s">
        <v>857</v>
      </c>
      <c r="C11" s="190"/>
      <c r="D11" s="189"/>
      <c r="E11" s="189"/>
      <c r="F11" s="189"/>
      <c r="G11" s="195"/>
      <c r="H11" s="173" t="s">
        <v>387</v>
      </c>
      <c r="I11" s="189"/>
      <c r="J11" s="190"/>
      <c r="K11" s="189"/>
      <c r="L11" s="189"/>
      <c r="M11" s="91">
        <f>+M13</f>
        <v>350000000</v>
      </c>
    </row>
    <row r="12" spans="1:140" ht="25.5" x14ac:dyDescent="0.2">
      <c r="A12" s="37">
        <v>5</v>
      </c>
      <c r="B12" s="189"/>
      <c r="C12" s="190"/>
      <c r="D12" s="189"/>
      <c r="E12" s="196">
        <v>9</v>
      </c>
      <c r="F12" s="189" t="s">
        <v>268</v>
      </c>
      <c r="G12" s="195"/>
      <c r="H12" s="80" t="s">
        <v>414</v>
      </c>
      <c r="I12" s="196">
        <v>15</v>
      </c>
      <c r="J12" s="190" t="s">
        <v>440</v>
      </c>
      <c r="K12" s="196"/>
      <c r="L12" s="189"/>
      <c r="M12" s="194"/>
    </row>
    <row r="13" spans="1:140" x14ac:dyDescent="0.2">
      <c r="A13" s="37">
        <v>6</v>
      </c>
      <c r="B13" s="189" t="s">
        <v>497</v>
      </c>
      <c r="C13" s="190"/>
      <c r="D13" s="189"/>
      <c r="E13" s="189"/>
      <c r="F13" s="189"/>
      <c r="G13" s="195"/>
      <c r="H13" s="173" t="s">
        <v>316</v>
      </c>
      <c r="I13" s="189"/>
      <c r="J13" s="190"/>
      <c r="K13" s="189"/>
      <c r="L13" s="189"/>
      <c r="M13" s="91">
        <f>+M16</f>
        <v>350000000</v>
      </c>
    </row>
    <row r="14" spans="1:140" ht="25.5" x14ac:dyDescent="0.2">
      <c r="A14" s="37">
        <v>7</v>
      </c>
      <c r="B14" s="189"/>
      <c r="C14" s="190"/>
      <c r="D14" s="189" t="s">
        <v>310</v>
      </c>
      <c r="E14" s="196">
        <v>21</v>
      </c>
      <c r="F14" s="189" t="s">
        <v>1080</v>
      </c>
      <c r="G14" s="195"/>
      <c r="H14" s="80" t="s">
        <v>351</v>
      </c>
      <c r="I14" s="196">
        <v>35000</v>
      </c>
      <c r="J14" s="190" t="s">
        <v>816</v>
      </c>
      <c r="K14" s="196">
        <v>4379</v>
      </c>
      <c r="L14" s="196">
        <v>11667</v>
      </c>
      <c r="M14" s="194"/>
    </row>
    <row r="15" spans="1:140" ht="25.5" x14ac:dyDescent="0.2">
      <c r="A15" s="37">
        <v>7</v>
      </c>
      <c r="B15" s="189"/>
      <c r="C15" s="190"/>
      <c r="D15" s="189" t="s">
        <v>310</v>
      </c>
      <c r="E15" s="196">
        <v>23</v>
      </c>
      <c r="F15" s="189" t="s">
        <v>1080</v>
      </c>
      <c r="G15" s="195"/>
      <c r="H15" s="80" t="s">
        <v>340</v>
      </c>
      <c r="I15" s="196">
        <v>12800</v>
      </c>
      <c r="J15" s="190" t="s">
        <v>816</v>
      </c>
      <c r="K15" s="196">
        <v>3263</v>
      </c>
      <c r="L15" s="196">
        <v>4267</v>
      </c>
      <c r="M15" s="194"/>
    </row>
    <row r="16" spans="1:140" ht="25.5" x14ac:dyDescent="0.2">
      <c r="A16" s="37">
        <v>8</v>
      </c>
      <c r="B16" s="189"/>
      <c r="C16" s="190" t="s">
        <v>10</v>
      </c>
      <c r="D16" s="189"/>
      <c r="E16" s="189"/>
      <c r="F16" s="189"/>
      <c r="G16" s="195">
        <v>296113</v>
      </c>
      <c r="H16" s="80" t="s">
        <v>243</v>
      </c>
      <c r="I16" s="189"/>
      <c r="J16" s="190"/>
      <c r="K16" s="189"/>
      <c r="L16" s="189"/>
      <c r="M16" s="183">
        <f>+M17</f>
        <v>350000000</v>
      </c>
    </row>
    <row r="17" spans="1:13" x14ac:dyDescent="0.2">
      <c r="A17" s="37">
        <v>9</v>
      </c>
      <c r="B17" s="189"/>
      <c r="C17" s="190"/>
      <c r="D17" s="189"/>
      <c r="E17" s="189"/>
      <c r="F17" s="189"/>
      <c r="G17" s="195"/>
      <c r="H17" s="81" t="s">
        <v>579</v>
      </c>
      <c r="I17" s="189"/>
      <c r="J17" s="190"/>
      <c r="K17" s="189"/>
      <c r="L17" s="189"/>
      <c r="M17" s="183">
        <f>230000000+120000000</f>
        <v>350000000</v>
      </c>
    </row>
    <row r="18" spans="1:13" x14ac:dyDescent="0.2">
      <c r="A18" s="37"/>
      <c r="B18" s="189"/>
      <c r="C18" s="190"/>
      <c r="D18" s="189"/>
      <c r="E18" s="189"/>
      <c r="F18" s="189"/>
      <c r="G18" s="195"/>
      <c r="H18" s="80"/>
      <c r="I18" s="189"/>
      <c r="J18" s="190"/>
      <c r="K18" s="189"/>
      <c r="L18" s="189"/>
      <c r="M18" s="183"/>
    </row>
    <row r="19" spans="1:13" x14ac:dyDescent="0.2">
      <c r="A19" s="37">
        <v>4</v>
      </c>
      <c r="B19" s="189" t="s">
        <v>497</v>
      </c>
      <c r="C19" s="190"/>
      <c r="D19" s="189"/>
      <c r="E19" s="189"/>
      <c r="F19" s="189"/>
      <c r="G19" s="195"/>
      <c r="H19" s="173" t="s">
        <v>673</v>
      </c>
      <c r="I19" s="189"/>
      <c r="J19" s="190"/>
      <c r="K19" s="189"/>
      <c r="L19" s="189"/>
      <c r="M19" s="91">
        <f>+M21</f>
        <v>2081096477</v>
      </c>
    </row>
    <row r="20" spans="1:13" ht="25.5" x14ac:dyDescent="0.2">
      <c r="A20" s="37">
        <v>5</v>
      </c>
      <c r="B20" s="189"/>
      <c r="C20" s="190"/>
      <c r="D20" s="189"/>
      <c r="E20" s="196">
        <v>39</v>
      </c>
      <c r="F20" s="189" t="s">
        <v>268</v>
      </c>
      <c r="G20" s="195"/>
      <c r="H20" s="80" t="s">
        <v>403</v>
      </c>
      <c r="I20" s="196">
        <v>35</v>
      </c>
      <c r="J20" s="190" t="s">
        <v>440</v>
      </c>
      <c r="K20" s="196"/>
      <c r="L20" s="189"/>
      <c r="M20" s="194"/>
    </row>
    <row r="21" spans="1:13" x14ac:dyDescent="0.2">
      <c r="A21" s="37">
        <v>6</v>
      </c>
      <c r="B21" s="189" t="s">
        <v>497</v>
      </c>
      <c r="C21" s="190"/>
      <c r="D21" s="189"/>
      <c r="E21" s="189"/>
      <c r="F21" s="189"/>
      <c r="G21" s="195"/>
      <c r="H21" s="173" t="s">
        <v>316</v>
      </c>
      <c r="I21" s="189"/>
      <c r="J21" s="190"/>
      <c r="K21" s="189"/>
      <c r="L21" s="189"/>
      <c r="M21" s="91">
        <f>+M26+M28</f>
        <v>2081096477</v>
      </c>
    </row>
    <row r="22" spans="1:13" ht="25.5" x14ac:dyDescent="0.2">
      <c r="A22" s="37"/>
      <c r="B22" s="189"/>
      <c r="C22" s="190"/>
      <c r="D22" s="189" t="s">
        <v>310</v>
      </c>
      <c r="E22" s="196">
        <v>54</v>
      </c>
      <c r="F22" s="189" t="s">
        <v>1080</v>
      </c>
      <c r="G22" s="195"/>
      <c r="H22" s="80" t="s">
        <v>71</v>
      </c>
      <c r="I22" s="196">
        <v>33228</v>
      </c>
      <c r="J22" s="190" t="s">
        <v>816</v>
      </c>
      <c r="K22" s="196">
        <v>4652</v>
      </c>
      <c r="L22" s="196">
        <v>8307</v>
      </c>
      <c r="M22" s="91"/>
    </row>
    <row r="23" spans="1:13" ht="25.5" x14ac:dyDescent="0.2">
      <c r="A23" s="37">
        <v>7</v>
      </c>
      <c r="B23" s="189"/>
      <c r="C23" s="190"/>
      <c r="D23" s="189" t="s">
        <v>310</v>
      </c>
      <c r="E23" s="196">
        <v>55</v>
      </c>
      <c r="F23" s="189" t="s">
        <v>1080</v>
      </c>
      <c r="G23" s="195"/>
      <c r="H23" s="80" t="s">
        <v>242</v>
      </c>
      <c r="I23" s="196">
        <v>850</v>
      </c>
      <c r="J23" s="190" t="s">
        <v>816</v>
      </c>
      <c r="K23" s="196">
        <v>179</v>
      </c>
      <c r="L23" s="196" t="s">
        <v>1440</v>
      </c>
      <c r="M23" s="194"/>
    </row>
    <row r="24" spans="1:13" ht="38.25" x14ac:dyDescent="0.2">
      <c r="A24" s="37">
        <v>7</v>
      </c>
      <c r="B24" s="189"/>
      <c r="C24" s="190"/>
      <c r="D24" s="189" t="s">
        <v>310</v>
      </c>
      <c r="E24" s="196">
        <v>56</v>
      </c>
      <c r="F24" s="189" t="s">
        <v>1080</v>
      </c>
      <c r="G24" s="195"/>
      <c r="H24" s="80" t="s">
        <v>474</v>
      </c>
      <c r="I24" s="196">
        <v>24000</v>
      </c>
      <c r="J24" s="190" t="s">
        <v>816</v>
      </c>
      <c r="K24" s="196">
        <v>0</v>
      </c>
      <c r="L24" s="196">
        <v>24000</v>
      </c>
      <c r="M24" s="194"/>
    </row>
    <row r="25" spans="1:13" ht="25.5" x14ac:dyDescent="0.2">
      <c r="A25" s="37">
        <v>7</v>
      </c>
      <c r="B25" s="189"/>
      <c r="C25" s="190"/>
      <c r="D25" s="189" t="s">
        <v>310</v>
      </c>
      <c r="E25" s="196">
        <v>57</v>
      </c>
      <c r="F25" s="189" t="s">
        <v>1080</v>
      </c>
      <c r="G25" s="195"/>
      <c r="H25" s="80" t="s">
        <v>446</v>
      </c>
      <c r="I25" s="196">
        <v>12180</v>
      </c>
      <c r="J25" s="190" t="s">
        <v>816</v>
      </c>
      <c r="K25" s="196">
        <v>0</v>
      </c>
      <c r="L25" s="196">
        <v>3045</v>
      </c>
      <c r="M25" s="194"/>
    </row>
    <row r="26" spans="1:13" ht="25.5" x14ac:dyDescent="0.2">
      <c r="A26" s="37">
        <v>8</v>
      </c>
      <c r="B26" s="189"/>
      <c r="C26" s="190" t="s">
        <v>10</v>
      </c>
      <c r="D26" s="189"/>
      <c r="E26" s="189"/>
      <c r="F26" s="189"/>
      <c r="G26" s="195">
        <v>296069</v>
      </c>
      <c r="H26" s="80" t="s">
        <v>203</v>
      </c>
      <c r="I26" s="189"/>
      <c r="J26" s="190"/>
      <c r="K26" s="189"/>
      <c r="L26" s="189"/>
      <c r="M26" s="183">
        <f>+M27</f>
        <v>701096477</v>
      </c>
    </row>
    <row r="27" spans="1:13" x14ac:dyDescent="0.2">
      <c r="A27" s="37">
        <v>9</v>
      </c>
      <c r="B27" s="189"/>
      <c r="C27" s="190"/>
      <c r="D27" s="189"/>
      <c r="E27" s="189"/>
      <c r="F27" s="189"/>
      <c r="G27" s="195"/>
      <c r="H27" s="80" t="s">
        <v>579</v>
      </c>
      <c r="I27" s="189"/>
      <c r="J27" s="190"/>
      <c r="K27" s="189"/>
      <c r="L27" s="189"/>
      <c r="M27" s="183">
        <v>701096477</v>
      </c>
    </row>
    <row r="28" spans="1:13" ht="25.5" x14ac:dyDescent="0.2">
      <c r="A28" s="37">
        <v>8</v>
      </c>
      <c r="B28" s="189"/>
      <c r="C28" s="190" t="s">
        <v>10</v>
      </c>
      <c r="D28" s="189"/>
      <c r="E28" s="189"/>
      <c r="F28" s="189"/>
      <c r="G28" s="195">
        <v>296107</v>
      </c>
      <c r="H28" s="80" t="s">
        <v>55</v>
      </c>
      <c r="I28" s="189"/>
      <c r="J28" s="190"/>
      <c r="K28" s="189"/>
      <c r="L28" s="189"/>
      <c r="M28" s="183">
        <f>+M29+M31+M30</f>
        <v>1380000000</v>
      </c>
    </row>
    <row r="29" spans="1:13" x14ac:dyDescent="0.2">
      <c r="A29" s="37">
        <v>9</v>
      </c>
      <c r="B29" s="189"/>
      <c r="C29" s="190"/>
      <c r="D29" s="189"/>
      <c r="E29" s="189"/>
      <c r="F29" s="189"/>
      <c r="G29" s="195"/>
      <c r="H29" s="80" t="s">
        <v>452</v>
      </c>
      <c r="I29" s="189"/>
      <c r="J29" s="190"/>
      <c r="K29" s="189"/>
      <c r="L29" s="189"/>
      <c r="M29" s="183">
        <v>700243600</v>
      </c>
    </row>
    <row r="30" spans="1:13" x14ac:dyDescent="0.2">
      <c r="A30" s="37"/>
      <c r="B30" s="189"/>
      <c r="C30" s="190"/>
      <c r="D30" s="189"/>
      <c r="E30" s="189"/>
      <c r="F30" s="189"/>
      <c r="G30" s="195"/>
      <c r="H30" s="80" t="s">
        <v>810</v>
      </c>
      <c r="I30" s="189"/>
      <c r="J30" s="190"/>
      <c r="K30" s="189"/>
      <c r="L30" s="189"/>
      <c r="M30" s="183">
        <v>79756400</v>
      </c>
    </row>
    <row r="31" spans="1:13" x14ac:dyDescent="0.2">
      <c r="A31" s="37">
        <v>9</v>
      </c>
      <c r="B31" s="189"/>
      <c r="C31" s="190"/>
      <c r="D31" s="189"/>
      <c r="E31" s="189"/>
      <c r="F31" s="189"/>
      <c r="G31" s="195"/>
      <c r="H31" s="80" t="s">
        <v>579</v>
      </c>
      <c r="I31" s="189"/>
      <c r="J31" s="190"/>
      <c r="K31" s="189"/>
      <c r="L31" s="189"/>
      <c r="M31" s="183">
        <f>480000000+120000000</f>
        <v>600000000</v>
      </c>
    </row>
    <row r="32" spans="1:13" x14ac:dyDescent="0.2">
      <c r="A32" s="37">
        <v>4</v>
      </c>
      <c r="B32" s="189" t="s">
        <v>955</v>
      </c>
      <c r="C32" s="190"/>
      <c r="D32" s="189"/>
      <c r="E32" s="189"/>
      <c r="F32" s="189"/>
      <c r="G32" s="195"/>
      <c r="H32" s="173" t="s">
        <v>405</v>
      </c>
      <c r="I32" s="189"/>
      <c r="J32" s="190"/>
      <c r="K32" s="189"/>
      <c r="L32" s="189"/>
      <c r="M32" s="91">
        <f>+M34</f>
        <v>3161458688</v>
      </c>
    </row>
    <row r="33" spans="1:13" ht="25.5" x14ac:dyDescent="0.2">
      <c r="A33" s="37">
        <v>5</v>
      </c>
      <c r="B33" s="189"/>
      <c r="C33" s="190"/>
      <c r="D33" s="189"/>
      <c r="E33" s="196">
        <v>74</v>
      </c>
      <c r="F33" s="189" t="s">
        <v>268</v>
      </c>
      <c r="G33" s="195"/>
      <c r="H33" s="80" t="s">
        <v>828</v>
      </c>
      <c r="I33" s="196">
        <v>60</v>
      </c>
      <c r="J33" s="190" t="s">
        <v>440</v>
      </c>
      <c r="K33" s="196"/>
      <c r="L33" s="189"/>
      <c r="M33" s="194"/>
    </row>
    <row r="34" spans="1:13" x14ac:dyDescent="0.2">
      <c r="A34" s="37">
        <v>6</v>
      </c>
      <c r="B34" s="189" t="s">
        <v>497</v>
      </c>
      <c r="C34" s="190"/>
      <c r="D34" s="189"/>
      <c r="E34" s="189"/>
      <c r="F34" s="189"/>
      <c r="G34" s="195"/>
      <c r="H34" s="173" t="s">
        <v>316</v>
      </c>
      <c r="I34" s="189"/>
      <c r="J34" s="190"/>
      <c r="K34" s="189"/>
      <c r="L34" s="189"/>
      <c r="M34" s="91">
        <f>+M39+M41</f>
        <v>3161458688</v>
      </c>
    </row>
    <row r="35" spans="1:13" ht="38.25" x14ac:dyDescent="0.2">
      <c r="A35" s="37"/>
      <c r="B35" s="189"/>
      <c r="C35" s="190"/>
      <c r="D35" s="189" t="s">
        <v>310</v>
      </c>
      <c r="E35" s="196">
        <v>98</v>
      </c>
      <c r="F35" s="189" t="s">
        <v>1080</v>
      </c>
      <c r="G35" s="195"/>
      <c r="H35" s="80" t="s">
        <v>642</v>
      </c>
      <c r="I35" s="196">
        <v>49844</v>
      </c>
      <c r="J35" s="190" t="s">
        <v>816</v>
      </c>
      <c r="K35" s="196">
        <v>25492</v>
      </c>
      <c r="L35" s="196">
        <v>49844</v>
      </c>
      <c r="M35" s="91"/>
    </row>
    <row r="36" spans="1:13" ht="25.5" x14ac:dyDescent="0.2">
      <c r="A36" s="37"/>
      <c r="B36" s="189"/>
      <c r="C36" s="190"/>
      <c r="D36" s="189" t="s">
        <v>310</v>
      </c>
      <c r="E36" s="196">
        <v>99</v>
      </c>
      <c r="F36" s="189" t="s">
        <v>1080</v>
      </c>
      <c r="G36" s="195"/>
      <c r="H36" s="80" t="s">
        <v>999</v>
      </c>
      <c r="I36" s="196">
        <v>3</v>
      </c>
      <c r="J36" s="190" t="s">
        <v>775</v>
      </c>
      <c r="K36" s="196">
        <v>1</v>
      </c>
      <c r="L36" s="189" t="s">
        <v>301</v>
      </c>
      <c r="M36" s="91"/>
    </row>
    <row r="37" spans="1:13" ht="38.25" x14ac:dyDescent="0.2">
      <c r="A37" s="37">
        <v>7</v>
      </c>
      <c r="B37" s="189"/>
      <c r="C37" s="190"/>
      <c r="D37" s="189" t="s">
        <v>310</v>
      </c>
      <c r="E37" s="196">
        <v>100</v>
      </c>
      <c r="F37" s="189" t="s">
        <v>1080</v>
      </c>
      <c r="G37" s="195"/>
      <c r="H37" s="80" t="s">
        <v>930</v>
      </c>
      <c r="I37" s="196">
        <v>80000</v>
      </c>
      <c r="J37" s="190" t="s">
        <v>816</v>
      </c>
      <c r="K37" s="196">
        <v>91296</v>
      </c>
      <c r="L37" s="196">
        <v>80000</v>
      </c>
      <c r="M37" s="194"/>
    </row>
    <row r="38" spans="1:13" ht="25.5" x14ac:dyDescent="0.2">
      <c r="A38" s="37">
        <v>7</v>
      </c>
      <c r="B38" s="189"/>
      <c r="C38" s="190"/>
      <c r="D38" s="189" t="s">
        <v>310</v>
      </c>
      <c r="E38" s="196">
        <v>101</v>
      </c>
      <c r="F38" s="189" t="s">
        <v>1080</v>
      </c>
      <c r="G38" s="195"/>
      <c r="H38" s="80" t="s">
        <v>491</v>
      </c>
      <c r="I38" s="196">
        <v>17400</v>
      </c>
      <c r="J38" s="190" t="s">
        <v>816</v>
      </c>
      <c r="K38" s="196">
        <v>4500</v>
      </c>
      <c r="L38" s="196">
        <v>4350</v>
      </c>
      <c r="M38" s="194"/>
    </row>
    <row r="39" spans="1:13" ht="25.5" x14ac:dyDescent="0.2">
      <c r="A39" s="37">
        <v>8</v>
      </c>
      <c r="B39" s="189"/>
      <c r="C39" s="190" t="s">
        <v>10</v>
      </c>
      <c r="D39" s="189"/>
      <c r="E39" s="189"/>
      <c r="F39" s="189"/>
      <c r="G39" s="195">
        <v>296069</v>
      </c>
      <c r="H39" s="80" t="s">
        <v>203</v>
      </c>
      <c r="I39" s="189"/>
      <c r="J39" s="190"/>
      <c r="K39" s="189"/>
      <c r="L39" s="189"/>
      <c r="M39" s="183">
        <f>SUM(M40:M40)</f>
        <v>731458688</v>
      </c>
    </row>
    <row r="40" spans="1:13" x14ac:dyDescent="0.2">
      <c r="A40" s="37">
        <v>9</v>
      </c>
      <c r="B40" s="189"/>
      <c r="C40" s="190"/>
      <c r="D40" s="189"/>
      <c r="E40" s="189"/>
      <c r="F40" s="189"/>
      <c r="G40" s="195"/>
      <c r="H40" s="80" t="s">
        <v>579</v>
      </c>
      <c r="I40" s="189"/>
      <c r="J40" s="190"/>
      <c r="K40" s="189"/>
      <c r="L40" s="189"/>
      <c r="M40" s="183">
        <v>731458688</v>
      </c>
    </row>
    <row r="41" spans="1:13" ht="25.5" x14ac:dyDescent="0.2">
      <c r="A41" s="37">
        <v>8</v>
      </c>
      <c r="B41" s="189"/>
      <c r="C41" s="190" t="s">
        <v>10</v>
      </c>
      <c r="D41" s="189"/>
      <c r="E41" s="189"/>
      <c r="F41" s="189"/>
      <c r="G41" s="195">
        <v>296107</v>
      </c>
      <c r="H41" s="80" t="s">
        <v>55</v>
      </c>
      <c r="I41" s="189"/>
      <c r="J41" s="190"/>
      <c r="K41" s="189"/>
      <c r="L41" s="189"/>
      <c r="M41" s="183">
        <f>+M42+M43+M44</f>
        <v>2430000000</v>
      </c>
    </row>
    <row r="42" spans="1:13" x14ac:dyDescent="0.2">
      <c r="A42" s="37">
        <v>9</v>
      </c>
      <c r="B42" s="189"/>
      <c r="C42" s="190"/>
      <c r="D42" s="189"/>
      <c r="E42" s="189"/>
      <c r="F42" s="189"/>
      <c r="G42" s="195"/>
      <c r="H42" s="80" t="s">
        <v>452</v>
      </c>
      <c r="I42" s="189"/>
      <c r="J42" s="190"/>
      <c r="K42" s="189"/>
      <c r="L42" s="189"/>
      <c r="M42" s="183">
        <v>1050365400</v>
      </c>
    </row>
    <row r="43" spans="1:13" x14ac:dyDescent="0.2">
      <c r="A43" s="37">
        <v>9</v>
      </c>
      <c r="B43" s="189"/>
      <c r="C43" s="190"/>
      <c r="D43" s="189"/>
      <c r="E43" s="189"/>
      <c r="F43" s="189"/>
      <c r="G43" s="195"/>
      <c r="H43" s="80" t="s">
        <v>579</v>
      </c>
      <c r="I43" s="189"/>
      <c r="J43" s="190"/>
      <c r="K43" s="189"/>
      <c r="L43" s="189"/>
      <c r="M43" s="183">
        <f>1120000000+140000000</f>
        <v>1260000000</v>
      </c>
    </row>
    <row r="44" spans="1:13" x14ac:dyDescent="0.2">
      <c r="A44" s="37"/>
      <c r="B44" s="189"/>
      <c r="C44" s="190"/>
      <c r="D44" s="189"/>
      <c r="E44" s="189"/>
      <c r="F44" s="189"/>
      <c r="G44" s="195"/>
      <c r="H44" s="80" t="s">
        <v>810</v>
      </c>
      <c r="I44" s="189"/>
      <c r="J44" s="190"/>
      <c r="K44" s="189"/>
      <c r="L44" s="189"/>
      <c r="M44" s="183">
        <v>119634600</v>
      </c>
    </row>
    <row r="45" spans="1:13" x14ac:dyDescent="0.2">
      <c r="A45" s="37">
        <v>4</v>
      </c>
      <c r="B45" s="189" t="s">
        <v>285</v>
      </c>
      <c r="C45" s="190"/>
      <c r="D45" s="189"/>
      <c r="E45" s="189"/>
      <c r="F45" s="189"/>
      <c r="G45" s="195"/>
      <c r="H45" s="173" t="s">
        <v>548</v>
      </c>
      <c r="I45" s="189"/>
      <c r="J45" s="190"/>
      <c r="K45" s="189"/>
      <c r="L45" s="189"/>
      <c r="M45" s="91">
        <f>+M47</f>
        <v>3564765210</v>
      </c>
    </row>
    <row r="46" spans="1:13" ht="25.5" x14ac:dyDescent="0.2">
      <c r="A46" s="37">
        <v>5</v>
      </c>
      <c r="B46" s="189"/>
      <c r="C46" s="190"/>
      <c r="D46" s="189"/>
      <c r="E46" s="196">
        <v>118</v>
      </c>
      <c r="F46" s="189" t="s">
        <v>268</v>
      </c>
      <c r="G46" s="195"/>
      <c r="H46" s="80" t="s">
        <v>654</v>
      </c>
      <c r="I46" s="196">
        <v>35</v>
      </c>
      <c r="J46" s="190" t="s">
        <v>440</v>
      </c>
      <c r="K46" s="196"/>
      <c r="L46" s="189"/>
      <c r="M46" s="194"/>
    </row>
    <row r="47" spans="1:13" x14ac:dyDescent="0.2">
      <c r="A47" s="37">
        <v>6</v>
      </c>
      <c r="B47" s="189" t="s">
        <v>497</v>
      </c>
      <c r="C47" s="190"/>
      <c r="D47" s="189"/>
      <c r="E47" s="189"/>
      <c r="F47" s="189"/>
      <c r="G47" s="195"/>
      <c r="H47" s="173" t="s">
        <v>316</v>
      </c>
      <c r="I47" s="189"/>
      <c r="J47" s="190"/>
      <c r="K47" s="189"/>
      <c r="L47" s="189"/>
      <c r="M47" s="91">
        <f>+M56+M61+M63+M58</f>
        <v>3564765210</v>
      </c>
    </row>
    <row r="48" spans="1:13" ht="38.25" x14ac:dyDescent="0.2">
      <c r="A48" s="37"/>
      <c r="B48" s="189"/>
      <c r="C48" s="190"/>
      <c r="D48" s="189" t="s">
        <v>310</v>
      </c>
      <c r="E48" s="196">
        <v>128</v>
      </c>
      <c r="F48" s="189" t="s">
        <v>1080</v>
      </c>
      <c r="G48" s="195"/>
      <c r="H48" s="80" t="s">
        <v>399</v>
      </c>
      <c r="I48" s="196">
        <v>9600</v>
      </c>
      <c r="J48" s="190" t="s">
        <v>816</v>
      </c>
      <c r="K48" s="196">
        <v>0</v>
      </c>
      <c r="L48" s="196">
        <v>2400</v>
      </c>
      <c r="M48" s="91"/>
    </row>
    <row r="49" spans="1:13" ht="38.25" x14ac:dyDescent="0.2">
      <c r="A49" s="37"/>
      <c r="B49" s="189"/>
      <c r="C49" s="190"/>
      <c r="D49" s="189" t="s">
        <v>310</v>
      </c>
      <c r="E49" s="196">
        <v>129</v>
      </c>
      <c r="F49" s="189" t="s">
        <v>1080</v>
      </c>
      <c r="G49" s="195"/>
      <c r="H49" s="80" t="s">
        <v>1020</v>
      </c>
      <c r="I49" s="196">
        <v>15000</v>
      </c>
      <c r="J49" s="190" t="s">
        <v>816</v>
      </c>
      <c r="K49" s="196">
        <v>3263</v>
      </c>
      <c r="L49" s="196">
        <v>3750</v>
      </c>
      <c r="M49" s="91"/>
    </row>
    <row r="50" spans="1:13" ht="25.5" x14ac:dyDescent="0.2">
      <c r="A50" s="37"/>
      <c r="B50" s="189"/>
      <c r="C50" s="190"/>
      <c r="D50" s="189" t="s">
        <v>310</v>
      </c>
      <c r="E50" s="196">
        <v>130</v>
      </c>
      <c r="F50" s="189" t="s">
        <v>1080</v>
      </c>
      <c r="G50" s="195"/>
      <c r="H50" s="80" t="s">
        <v>154</v>
      </c>
      <c r="I50" s="196">
        <v>3</v>
      </c>
      <c r="J50" s="190" t="s">
        <v>648</v>
      </c>
      <c r="K50" s="196">
        <v>0</v>
      </c>
      <c r="L50" s="189" t="s">
        <v>301</v>
      </c>
      <c r="M50" s="91"/>
    </row>
    <row r="51" spans="1:13" ht="38.25" x14ac:dyDescent="0.2">
      <c r="A51" s="37"/>
      <c r="B51" s="189"/>
      <c r="C51" s="190"/>
      <c r="D51" s="189" t="s">
        <v>310</v>
      </c>
      <c r="E51" s="196">
        <v>131</v>
      </c>
      <c r="F51" s="189" t="s">
        <v>1116</v>
      </c>
      <c r="G51" s="195"/>
      <c r="H51" s="80" t="s">
        <v>1146</v>
      </c>
      <c r="I51" s="196">
        <v>100</v>
      </c>
      <c r="J51" s="190" t="s">
        <v>804</v>
      </c>
      <c r="K51" s="189" t="s">
        <v>1165</v>
      </c>
      <c r="L51" s="189" t="s">
        <v>1165</v>
      </c>
      <c r="M51" s="91"/>
    </row>
    <row r="52" spans="1:13" ht="25.5" x14ac:dyDescent="0.2">
      <c r="A52" s="37">
        <v>7</v>
      </c>
      <c r="B52" s="189"/>
      <c r="C52" s="190"/>
      <c r="D52" s="189" t="s">
        <v>310</v>
      </c>
      <c r="E52" s="196">
        <v>133</v>
      </c>
      <c r="F52" s="189" t="s">
        <v>1080</v>
      </c>
      <c r="G52" s="195"/>
      <c r="H52" s="80" t="s">
        <v>1074</v>
      </c>
      <c r="I52" s="196">
        <v>100</v>
      </c>
      <c r="J52" s="190" t="s">
        <v>816</v>
      </c>
      <c r="K52" s="196">
        <v>168</v>
      </c>
      <c r="L52" s="189" t="s">
        <v>1165</v>
      </c>
      <c r="M52" s="194"/>
    </row>
    <row r="53" spans="1:13" x14ac:dyDescent="0.2">
      <c r="A53" s="37">
        <v>7</v>
      </c>
      <c r="B53" s="189"/>
      <c r="C53" s="190"/>
      <c r="D53" s="175"/>
      <c r="E53" s="175"/>
      <c r="F53" s="175"/>
      <c r="G53" s="175"/>
      <c r="H53" s="175"/>
      <c r="I53" s="175"/>
      <c r="J53" s="175"/>
      <c r="K53" s="175"/>
      <c r="L53" s="175"/>
      <c r="M53" s="194"/>
    </row>
    <row r="54" spans="1:13" x14ac:dyDescent="0.2">
      <c r="A54" s="37">
        <v>7</v>
      </c>
      <c r="B54" s="189"/>
      <c r="C54" s="190"/>
      <c r="D54" s="189" t="s">
        <v>310</v>
      </c>
      <c r="E54" s="196">
        <v>134</v>
      </c>
      <c r="F54" s="189" t="s">
        <v>1080</v>
      </c>
      <c r="G54" s="195"/>
      <c r="H54" s="80" t="s">
        <v>1065</v>
      </c>
      <c r="I54" s="196">
        <v>5220</v>
      </c>
      <c r="J54" s="190" t="s">
        <v>816</v>
      </c>
      <c r="K54" s="196">
        <v>0</v>
      </c>
      <c r="L54" s="196">
        <v>1305</v>
      </c>
      <c r="M54" s="194"/>
    </row>
    <row r="55" spans="1:13" x14ac:dyDescent="0.2">
      <c r="A55" s="37">
        <v>7</v>
      </c>
      <c r="B55" s="189"/>
      <c r="C55" s="190"/>
      <c r="D55" s="175"/>
      <c r="E55" s="175"/>
      <c r="F55" s="175"/>
      <c r="G55" s="175"/>
      <c r="H55" s="175"/>
      <c r="I55" s="175"/>
      <c r="J55" s="175"/>
      <c r="K55" s="175"/>
      <c r="L55" s="175"/>
      <c r="M55" s="194"/>
    </row>
    <row r="56" spans="1:13" ht="51" x14ac:dyDescent="0.2">
      <c r="A56" s="37">
        <v>8</v>
      </c>
      <c r="B56" s="189"/>
      <c r="C56" s="190" t="s">
        <v>1271</v>
      </c>
      <c r="D56" s="189"/>
      <c r="E56" s="189"/>
      <c r="F56" s="189"/>
      <c r="G56" s="195">
        <v>296069</v>
      </c>
      <c r="H56" s="80" t="s">
        <v>1308</v>
      </c>
      <c r="I56" s="189"/>
      <c r="J56" s="190"/>
      <c r="K56" s="189"/>
      <c r="L56" s="189"/>
      <c r="M56" s="183">
        <f>SUM(M57:M57)</f>
        <v>124100000</v>
      </c>
    </row>
    <row r="57" spans="1:13" x14ac:dyDescent="0.2">
      <c r="A57" s="37">
        <v>9</v>
      </c>
      <c r="B57" s="189"/>
      <c r="C57" s="190"/>
      <c r="D57" s="189"/>
      <c r="E57" s="189"/>
      <c r="F57" s="189"/>
      <c r="G57" s="195"/>
      <c r="H57" s="80" t="s">
        <v>579</v>
      </c>
      <c r="I57" s="189"/>
      <c r="J57" s="190"/>
      <c r="K57" s="189"/>
      <c r="L57" s="189"/>
      <c r="M57" s="183">
        <v>124100000</v>
      </c>
    </row>
    <row r="58" spans="1:13" ht="25.5" x14ac:dyDescent="0.2">
      <c r="A58" s="37"/>
      <c r="B58" s="189"/>
      <c r="C58" s="190" t="s">
        <v>10</v>
      </c>
      <c r="D58" s="189"/>
      <c r="E58" s="189"/>
      <c r="F58" s="189"/>
      <c r="G58" s="195">
        <v>296069</v>
      </c>
      <c r="H58" s="80" t="s">
        <v>203</v>
      </c>
      <c r="I58" s="189"/>
      <c r="J58" s="190"/>
      <c r="K58" s="189"/>
      <c r="L58" s="189"/>
      <c r="M58" s="183">
        <f>SUM(M59:M59)</f>
        <v>2720665210</v>
      </c>
    </row>
    <row r="59" spans="1:13" x14ac:dyDescent="0.2">
      <c r="A59" s="37"/>
      <c r="B59" s="189"/>
      <c r="C59" s="190"/>
      <c r="D59" s="189"/>
      <c r="E59" s="189"/>
      <c r="F59" s="189"/>
      <c r="G59" s="195"/>
      <c r="H59" s="80" t="s">
        <v>579</v>
      </c>
      <c r="I59" s="189"/>
      <c r="J59" s="190"/>
      <c r="K59" s="189"/>
      <c r="L59" s="189"/>
      <c r="M59" s="183">
        <f>141485185+1953280025+750000000-124100000</f>
        <v>2720665210</v>
      </c>
    </row>
    <row r="60" spans="1:13" x14ac:dyDescent="0.2">
      <c r="A60" s="37"/>
      <c r="B60" s="189"/>
      <c r="C60" s="190"/>
      <c r="D60" s="189"/>
      <c r="E60" s="189"/>
      <c r="F60" s="189"/>
      <c r="G60" s="195"/>
      <c r="H60" s="80"/>
      <c r="I60" s="189"/>
      <c r="J60" s="190"/>
      <c r="K60" s="189"/>
      <c r="L60" s="189"/>
      <c r="M60" s="183"/>
    </row>
    <row r="61" spans="1:13" ht="25.5" x14ac:dyDescent="0.2">
      <c r="A61" s="37">
        <v>8</v>
      </c>
      <c r="B61" s="189"/>
      <c r="C61" s="190" t="s">
        <v>10</v>
      </c>
      <c r="D61" s="189"/>
      <c r="E61" s="189"/>
      <c r="F61" s="189"/>
      <c r="G61" s="195">
        <v>296107</v>
      </c>
      <c r="H61" s="80" t="s">
        <v>55</v>
      </c>
      <c r="I61" s="189"/>
      <c r="J61" s="190"/>
      <c r="K61" s="189"/>
      <c r="L61" s="189"/>
      <c r="M61" s="183">
        <f>+M62</f>
        <v>140000000</v>
      </c>
    </row>
    <row r="62" spans="1:13" x14ac:dyDescent="0.2">
      <c r="A62" s="37">
        <v>9</v>
      </c>
      <c r="B62" s="189"/>
      <c r="C62" s="190"/>
      <c r="D62" s="189"/>
      <c r="E62" s="189"/>
      <c r="F62" s="189"/>
      <c r="G62" s="195"/>
      <c r="H62" s="80" t="s">
        <v>579</v>
      </c>
      <c r="I62" s="189"/>
      <c r="J62" s="190"/>
      <c r="K62" s="189"/>
      <c r="L62" s="189"/>
      <c r="M62" s="183">
        <v>140000000</v>
      </c>
    </row>
    <row r="63" spans="1:13" ht="25.5" x14ac:dyDescent="0.2">
      <c r="A63" s="37">
        <v>8</v>
      </c>
      <c r="B63" s="189"/>
      <c r="C63" s="190" t="s">
        <v>10</v>
      </c>
      <c r="D63" s="189"/>
      <c r="E63" s="189"/>
      <c r="F63" s="189"/>
      <c r="G63" s="195">
        <v>296113</v>
      </c>
      <c r="H63" s="80" t="s">
        <v>243</v>
      </c>
      <c r="I63" s="189"/>
      <c r="J63" s="190"/>
      <c r="K63" s="189"/>
      <c r="L63" s="189"/>
      <c r="M63" s="183">
        <f>+M64+M65</f>
        <v>580000000</v>
      </c>
    </row>
    <row r="64" spans="1:13" x14ac:dyDescent="0.2">
      <c r="A64" s="37">
        <v>9</v>
      </c>
      <c r="B64" s="189"/>
      <c r="C64" s="190"/>
      <c r="D64" s="189"/>
      <c r="E64" s="189"/>
      <c r="F64" s="189"/>
      <c r="G64" s="195"/>
      <c r="H64" s="80" t="s">
        <v>835</v>
      </c>
      <c r="I64" s="189"/>
      <c r="J64" s="190"/>
      <c r="K64" s="189"/>
      <c r="L64" s="189"/>
      <c r="M64" s="183">
        <v>450000000</v>
      </c>
    </row>
    <row r="65" spans="1:13" x14ac:dyDescent="0.2">
      <c r="A65" s="37"/>
      <c r="B65" s="189"/>
      <c r="C65" s="190"/>
      <c r="D65" s="189"/>
      <c r="E65" s="189"/>
      <c r="F65" s="189"/>
      <c r="G65" s="195"/>
      <c r="H65" s="80" t="s">
        <v>579</v>
      </c>
      <c r="I65" s="189"/>
      <c r="J65" s="190"/>
      <c r="K65" s="189"/>
      <c r="L65" s="189"/>
      <c r="M65" s="183">
        <v>130000000</v>
      </c>
    </row>
    <row r="66" spans="1:13" x14ac:dyDescent="0.2">
      <c r="A66" s="37">
        <v>4</v>
      </c>
      <c r="B66" s="189" t="s">
        <v>885</v>
      </c>
      <c r="C66" s="190"/>
      <c r="D66" s="189"/>
      <c r="E66" s="189"/>
      <c r="F66" s="189"/>
      <c r="G66" s="195"/>
      <c r="H66" s="173" t="s">
        <v>740</v>
      </c>
      <c r="I66" s="189"/>
      <c r="J66" s="190"/>
      <c r="K66" s="189"/>
      <c r="L66" s="189"/>
      <c r="M66" s="91">
        <f>+M68</f>
        <v>1523484625</v>
      </c>
    </row>
    <row r="67" spans="1:13" ht="25.5" x14ac:dyDescent="0.2">
      <c r="A67" s="37">
        <v>5</v>
      </c>
      <c r="B67" s="189"/>
      <c r="C67" s="190"/>
      <c r="D67" s="189"/>
      <c r="E67" s="196">
        <v>160</v>
      </c>
      <c r="F67" s="189" t="s">
        <v>268</v>
      </c>
      <c r="G67" s="195"/>
      <c r="H67" s="80" t="s">
        <v>759</v>
      </c>
      <c r="I67" s="196">
        <v>30</v>
      </c>
      <c r="J67" s="190" t="s">
        <v>440</v>
      </c>
      <c r="K67" s="196"/>
      <c r="L67" s="189"/>
      <c r="M67" s="194"/>
    </row>
    <row r="68" spans="1:13" x14ac:dyDescent="0.2">
      <c r="A68" s="37">
        <v>6</v>
      </c>
      <c r="B68" s="189" t="s">
        <v>497</v>
      </c>
      <c r="C68" s="190"/>
      <c r="D68" s="189"/>
      <c r="E68" s="189"/>
      <c r="F68" s="189"/>
      <c r="G68" s="195"/>
      <c r="H68" s="173" t="s">
        <v>316</v>
      </c>
      <c r="I68" s="189"/>
      <c r="J68" s="190"/>
      <c r="K68" s="189"/>
      <c r="L68" s="189"/>
      <c r="M68" s="91">
        <f>+M72+M75</f>
        <v>1523484625</v>
      </c>
    </row>
    <row r="69" spans="1:13" ht="25.5" x14ac:dyDescent="0.2">
      <c r="A69" s="37"/>
      <c r="B69" s="189"/>
      <c r="C69" s="190"/>
      <c r="D69" s="189" t="s">
        <v>310</v>
      </c>
      <c r="E69" s="196">
        <v>165</v>
      </c>
      <c r="F69" s="189" t="s">
        <v>1080</v>
      </c>
      <c r="G69" s="195"/>
      <c r="H69" s="80" t="s">
        <v>628</v>
      </c>
      <c r="I69" s="196">
        <v>25000</v>
      </c>
      <c r="J69" s="190" t="s">
        <v>816</v>
      </c>
      <c r="K69" s="196">
        <v>8900</v>
      </c>
      <c r="L69" s="196">
        <v>25000</v>
      </c>
      <c r="M69" s="91"/>
    </row>
    <row r="70" spans="1:13" ht="25.5" x14ac:dyDescent="0.2">
      <c r="A70" s="37">
        <v>7</v>
      </c>
      <c r="B70" s="189"/>
      <c r="C70" s="190"/>
      <c r="D70" s="189" t="s">
        <v>310</v>
      </c>
      <c r="E70" s="196">
        <v>166</v>
      </c>
      <c r="F70" s="189" t="s">
        <v>1080</v>
      </c>
      <c r="G70" s="195"/>
      <c r="H70" s="80" t="s">
        <v>980</v>
      </c>
      <c r="I70" s="196">
        <v>123236</v>
      </c>
      <c r="J70" s="190" t="s">
        <v>816</v>
      </c>
      <c r="K70" s="196">
        <v>10166</v>
      </c>
      <c r="L70" s="196">
        <v>30809</v>
      </c>
      <c r="M70" s="194"/>
    </row>
    <row r="71" spans="1:13" x14ac:dyDescent="0.2">
      <c r="A71" s="37">
        <v>7</v>
      </c>
      <c r="B71" s="189"/>
      <c r="C71" s="190"/>
      <c r="D71" s="175"/>
      <c r="E71" s="175"/>
      <c r="F71" s="175"/>
      <c r="G71" s="175"/>
      <c r="H71" s="175"/>
      <c r="I71" s="175"/>
      <c r="J71" s="175"/>
      <c r="K71" s="175"/>
      <c r="L71" s="175"/>
      <c r="M71" s="194"/>
    </row>
    <row r="72" spans="1:13" ht="25.5" x14ac:dyDescent="0.2">
      <c r="A72" s="37">
        <v>8</v>
      </c>
      <c r="B72" s="189"/>
      <c r="C72" s="190" t="s">
        <v>10</v>
      </c>
      <c r="D72" s="189"/>
      <c r="E72" s="189"/>
      <c r="F72" s="189"/>
      <c r="G72" s="195">
        <v>296107</v>
      </c>
      <c r="H72" s="80" t="s">
        <v>55</v>
      </c>
      <c r="I72" s="189"/>
      <c r="J72" s="190"/>
      <c r="K72" s="189"/>
      <c r="L72" s="189"/>
      <c r="M72" s="183">
        <f>+M73+M74</f>
        <v>1483484625</v>
      </c>
    </row>
    <row r="73" spans="1:13" x14ac:dyDescent="0.2">
      <c r="A73" s="37">
        <v>9</v>
      </c>
      <c r="B73" s="189"/>
      <c r="C73" s="190"/>
      <c r="D73" s="189"/>
      <c r="E73" s="189"/>
      <c r="F73" s="189"/>
      <c r="G73" s="195"/>
      <c r="H73" s="80" t="s">
        <v>579</v>
      </c>
      <c r="I73" s="189"/>
      <c r="J73" s="190"/>
      <c r="K73" s="189"/>
      <c r="L73" s="189"/>
      <c r="M73" s="183">
        <v>804938625</v>
      </c>
    </row>
    <row r="74" spans="1:13" x14ac:dyDescent="0.2">
      <c r="A74" s="37"/>
      <c r="B74" s="189"/>
      <c r="C74" s="190"/>
      <c r="D74" s="189"/>
      <c r="E74" s="189"/>
      <c r="F74" s="189"/>
      <c r="G74" s="195"/>
      <c r="H74" s="80" t="s">
        <v>810</v>
      </c>
      <c r="I74" s="189"/>
      <c r="J74" s="190"/>
      <c r="K74" s="189"/>
      <c r="L74" s="189"/>
      <c r="M74" s="183">
        <v>678546000</v>
      </c>
    </row>
    <row r="75" spans="1:13" ht="23.25" customHeight="1" x14ac:dyDescent="0.2">
      <c r="A75" s="37">
        <v>8</v>
      </c>
      <c r="B75" s="189"/>
      <c r="C75" s="190" t="s">
        <v>10</v>
      </c>
      <c r="D75" s="189"/>
      <c r="E75" s="189"/>
      <c r="F75" s="189"/>
      <c r="G75" s="195">
        <v>296108</v>
      </c>
      <c r="H75" s="80" t="s">
        <v>458</v>
      </c>
      <c r="I75" s="189"/>
      <c r="J75" s="190"/>
      <c r="K75" s="189"/>
      <c r="L75" s="189"/>
      <c r="M75" s="183">
        <f>+M76</f>
        <v>40000000</v>
      </c>
    </row>
    <row r="76" spans="1:13" x14ac:dyDescent="0.2">
      <c r="A76" s="37">
        <v>9</v>
      </c>
      <c r="B76" s="189"/>
      <c r="C76" s="190"/>
      <c r="D76" s="189"/>
      <c r="E76" s="189"/>
      <c r="F76" s="189"/>
      <c r="G76" s="195"/>
      <c r="H76" s="80" t="s">
        <v>579</v>
      </c>
      <c r="I76" s="189"/>
      <c r="J76" s="190"/>
      <c r="K76" s="189"/>
      <c r="L76" s="189"/>
      <c r="M76" s="183">
        <v>40000000</v>
      </c>
    </row>
    <row r="77" spans="1:13" x14ac:dyDescent="0.2">
      <c r="A77" s="37"/>
      <c r="B77" s="189"/>
      <c r="C77" s="190"/>
      <c r="D77" s="189"/>
      <c r="E77" s="189"/>
      <c r="F77" s="189"/>
      <c r="G77" s="195"/>
      <c r="H77" s="80"/>
      <c r="I77" s="189"/>
      <c r="J77" s="190"/>
      <c r="K77" s="189"/>
      <c r="L77" s="189"/>
      <c r="M77" s="183"/>
    </row>
    <row r="78" spans="1:13" x14ac:dyDescent="0.2">
      <c r="A78" s="37">
        <v>4</v>
      </c>
      <c r="B78" s="189" t="s">
        <v>450</v>
      </c>
      <c r="C78" s="190"/>
      <c r="D78" s="189"/>
      <c r="E78" s="189"/>
      <c r="F78" s="189"/>
      <c r="G78" s="195"/>
      <c r="H78" s="173" t="s">
        <v>299</v>
      </c>
      <c r="I78" s="189"/>
      <c r="J78" s="190"/>
      <c r="K78" s="189"/>
      <c r="L78" s="189"/>
      <c r="M78" s="91">
        <f>+M80</f>
        <v>240000000</v>
      </c>
    </row>
    <row r="79" spans="1:13" ht="38.25" x14ac:dyDescent="0.2">
      <c r="A79" s="37">
        <v>5</v>
      </c>
      <c r="B79" s="189"/>
      <c r="C79" s="190"/>
      <c r="D79" s="189"/>
      <c r="E79" s="196">
        <v>179</v>
      </c>
      <c r="F79" s="189" t="s">
        <v>268</v>
      </c>
      <c r="G79" s="195"/>
      <c r="H79" s="80" t="s">
        <v>1057</v>
      </c>
      <c r="I79" s="196">
        <v>5</v>
      </c>
      <c r="J79" s="190" t="s">
        <v>440</v>
      </c>
      <c r="K79" s="196"/>
      <c r="L79" s="189"/>
      <c r="M79" s="194"/>
    </row>
    <row r="80" spans="1:13" x14ac:dyDescent="0.2">
      <c r="A80" s="37">
        <v>6</v>
      </c>
      <c r="B80" s="189" t="s">
        <v>497</v>
      </c>
      <c r="C80" s="190"/>
      <c r="D80" s="189"/>
      <c r="E80" s="189"/>
      <c r="F80" s="189"/>
      <c r="G80" s="195"/>
      <c r="H80" s="173" t="s">
        <v>316</v>
      </c>
      <c r="I80" s="189"/>
      <c r="J80" s="190"/>
      <c r="K80" s="189"/>
      <c r="L80" s="189"/>
      <c r="M80" s="91">
        <f>+M83</f>
        <v>240000000</v>
      </c>
    </row>
    <row r="81" spans="1:13" ht="38.25" x14ac:dyDescent="0.2">
      <c r="A81" s="37">
        <v>7</v>
      </c>
      <c r="B81" s="189"/>
      <c r="C81" s="190"/>
      <c r="D81" s="189" t="s">
        <v>310</v>
      </c>
      <c r="E81" s="196">
        <v>188</v>
      </c>
      <c r="F81" s="189" t="s">
        <v>1080</v>
      </c>
      <c r="G81" s="195"/>
      <c r="H81" s="80" t="s">
        <v>304</v>
      </c>
      <c r="I81" s="196">
        <v>18000</v>
      </c>
      <c r="J81" s="190" t="s">
        <v>816</v>
      </c>
      <c r="K81" s="196">
        <v>3159</v>
      </c>
      <c r="L81" s="196">
        <v>4466</v>
      </c>
      <c r="M81" s="194"/>
    </row>
    <row r="82" spans="1:13" ht="25.5" x14ac:dyDescent="0.2">
      <c r="A82" s="37">
        <v>7</v>
      </c>
      <c r="B82" s="189"/>
      <c r="C82" s="190"/>
      <c r="D82" s="189" t="s">
        <v>310</v>
      </c>
      <c r="E82" s="196">
        <v>189</v>
      </c>
      <c r="F82" s="189" t="s">
        <v>1080</v>
      </c>
      <c r="G82" s="195"/>
      <c r="H82" s="80" t="s">
        <v>529</v>
      </c>
      <c r="I82" s="196">
        <v>17863</v>
      </c>
      <c r="J82" s="190" t="s">
        <v>816</v>
      </c>
      <c r="K82" s="196">
        <v>3409</v>
      </c>
      <c r="L82" s="196">
        <v>4466</v>
      </c>
      <c r="M82" s="194"/>
    </row>
    <row r="83" spans="1:13" ht="19.149999999999999" customHeight="1" x14ac:dyDescent="0.2">
      <c r="A83" s="37">
        <v>8</v>
      </c>
      <c r="B83" s="189"/>
      <c r="C83" s="190" t="s">
        <v>10</v>
      </c>
      <c r="D83" s="189"/>
      <c r="E83" s="189"/>
      <c r="F83" s="189"/>
      <c r="G83" s="195">
        <v>296108</v>
      </c>
      <c r="H83" s="80" t="s">
        <v>458</v>
      </c>
      <c r="I83" s="189"/>
      <c r="J83" s="190"/>
      <c r="K83" s="189"/>
      <c r="L83" s="189"/>
      <c r="M83" s="183">
        <f>+M84</f>
        <v>240000000</v>
      </c>
    </row>
    <row r="84" spans="1:13" x14ac:dyDescent="0.2">
      <c r="A84" s="37">
        <v>9</v>
      </c>
      <c r="B84" s="189"/>
      <c r="C84" s="190"/>
      <c r="D84" s="189"/>
      <c r="E84" s="189"/>
      <c r="F84" s="189"/>
      <c r="G84" s="195"/>
      <c r="H84" s="80" t="s">
        <v>579</v>
      </c>
      <c r="I84" s="189"/>
      <c r="J84" s="190"/>
      <c r="K84" s="189"/>
      <c r="L84" s="189"/>
      <c r="M84" s="183">
        <f>230000000+10000000</f>
        <v>240000000</v>
      </c>
    </row>
    <row r="85" spans="1:13" x14ac:dyDescent="0.2">
      <c r="A85" s="37"/>
      <c r="B85" s="189"/>
      <c r="C85" s="190"/>
      <c r="D85" s="189"/>
      <c r="E85" s="189"/>
      <c r="F85" s="189"/>
      <c r="G85" s="195"/>
      <c r="H85" s="80"/>
      <c r="I85" s="189"/>
      <c r="J85" s="190"/>
      <c r="K85" s="189"/>
      <c r="L85" s="189"/>
      <c r="M85" s="183"/>
    </row>
    <row r="86" spans="1:13" ht="25.5" x14ac:dyDescent="0.2">
      <c r="A86" s="37">
        <v>4</v>
      </c>
      <c r="B86" s="189" t="s">
        <v>1069</v>
      </c>
      <c r="C86" s="190"/>
      <c r="D86" s="189"/>
      <c r="E86" s="189"/>
      <c r="F86" s="189"/>
      <c r="G86" s="195"/>
      <c r="H86" s="173" t="s">
        <v>101</v>
      </c>
      <c r="I86" s="189"/>
      <c r="J86" s="190"/>
      <c r="K86" s="189"/>
      <c r="L86" s="189"/>
      <c r="M86" s="91">
        <f>+M88</f>
        <v>300000000</v>
      </c>
    </row>
    <row r="87" spans="1:13" ht="25.5" x14ac:dyDescent="0.2">
      <c r="A87" s="37">
        <v>5</v>
      </c>
      <c r="B87" s="189"/>
      <c r="C87" s="190"/>
      <c r="D87" s="189"/>
      <c r="E87" s="196">
        <v>269</v>
      </c>
      <c r="F87" s="189" t="s">
        <v>268</v>
      </c>
      <c r="G87" s="195"/>
      <c r="H87" s="80" t="s">
        <v>360</v>
      </c>
      <c r="I87" s="196">
        <v>116</v>
      </c>
      <c r="J87" s="190" t="s">
        <v>286</v>
      </c>
      <c r="K87" s="196"/>
      <c r="L87" s="189"/>
      <c r="M87" s="194"/>
    </row>
    <row r="88" spans="1:13" x14ac:dyDescent="0.2">
      <c r="A88" s="37">
        <v>6</v>
      </c>
      <c r="B88" s="189" t="s">
        <v>955</v>
      </c>
      <c r="C88" s="190"/>
      <c r="D88" s="189"/>
      <c r="E88" s="189"/>
      <c r="F88" s="189"/>
      <c r="G88" s="195"/>
      <c r="H88" s="173" t="s">
        <v>667</v>
      </c>
      <c r="I88" s="189"/>
      <c r="J88" s="190"/>
      <c r="K88" s="189"/>
      <c r="L88" s="189"/>
      <c r="M88" s="91">
        <f>+M102</f>
        <v>300000000</v>
      </c>
    </row>
    <row r="89" spans="1:13" ht="38.25" x14ac:dyDescent="0.2">
      <c r="A89" s="37"/>
      <c r="B89" s="189"/>
      <c r="C89" s="190"/>
      <c r="D89" s="189" t="s">
        <v>538</v>
      </c>
      <c r="E89" s="196">
        <v>297</v>
      </c>
      <c r="F89" s="189" t="s">
        <v>1080</v>
      </c>
      <c r="G89" s="195"/>
      <c r="H89" s="80" t="s">
        <v>80</v>
      </c>
      <c r="I89" s="196">
        <v>3776</v>
      </c>
      <c r="J89" s="190" t="s">
        <v>816</v>
      </c>
      <c r="K89" s="196">
        <v>537</v>
      </c>
      <c r="L89" s="196">
        <v>1259</v>
      </c>
      <c r="M89" s="91"/>
    </row>
    <row r="90" spans="1:13" ht="38.25" x14ac:dyDescent="0.2">
      <c r="A90" s="37"/>
      <c r="B90" s="189"/>
      <c r="C90" s="190"/>
      <c r="D90" s="189" t="s">
        <v>538</v>
      </c>
      <c r="E90" s="196">
        <v>298</v>
      </c>
      <c r="F90" s="189" t="s">
        <v>1080</v>
      </c>
      <c r="G90" s="195"/>
      <c r="H90" s="80" t="s">
        <v>722</v>
      </c>
      <c r="I90" s="196">
        <v>400</v>
      </c>
      <c r="J90" s="190" t="s">
        <v>816</v>
      </c>
      <c r="K90" s="196">
        <v>123</v>
      </c>
      <c r="L90" s="189" t="s">
        <v>1444</v>
      </c>
      <c r="M90" s="91"/>
    </row>
    <row r="91" spans="1:13" ht="25.5" x14ac:dyDescent="0.2">
      <c r="A91" s="37"/>
      <c r="B91" s="189"/>
      <c r="C91" s="190"/>
      <c r="D91" s="189" t="s">
        <v>538</v>
      </c>
      <c r="E91" s="196">
        <v>299</v>
      </c>
      <c r="F91" s="189" t="s">
        <v>1080</v>
      </c>
      <c r="G91" s="195"/>
      <c r="H91" s="80" t="s">
        <v>822</v>
      </c>
      <c r="I91" s="196">
        <v>1363</v>
      </c>
      <c r="J91" s="190" t="s">
        <v>816</v>
      </c>
      <c r="K91" s="196">
        <v>303</v>
      </c>
      <c r="L91" s="189" t="s">
        <v>1445</v>
      </c>
      <c r="M91" s="91"/>
    </row>
    <row r="92" spans="1:13" ht="25.5" x14ac:dyDescent="0.2">
      <c r="A92" s="37"/>
      <c r="B92" s="189"/>
      <c r="C92" s="190"/>
      <c r="D92" s="189" t="s">
        <v>538</v>
      </c>
      <c r="E92" s="196">
        <v>300</v>
      </c>
      <c r="F92" s="189" t="s">
        <v>1080</v>
      </c>
      <c r="G92" s="195"/>
      <c r="H92" s="80" t="s">
        <v>578</v>
      </c>
      <c r="I92" s="196">
        <v>2000</v>
      </c>
      <c r="J92" s="190" t="s">
        <v>816</v>
      </c>
      <c r="K92" s="196">
        <v>0</v>
      </c>
      <c r="L92" s="196">
        <v>2000</v>
      </c>
      <c r="M92" s="91"/>
    </row>
    <row r="93" spans="1:13" ht="25.5" x14ac:dyDescent="0.2">
      <c r="A93" s="37"/>
      <c r="B93" s="189"/>
      <c r="C93" s="190"/>
      <c r="D93" s="189" t="s">
        <v>538</v>
      </c>
      <c r="E93" s="196">
        <v>301</v>
      </c>
      <c r="F93" s="189" t="s">
        <v>1080</v>
      </c>
      <c r="G93" s="195"/>
      <c r="H93" s="80" t="s">
        <v>1070</v>
      </c>
      <c r="I93" s="196">
        <v>100</v>
      </c>
      <c r="J93" s="190" t="s">
        <v>804</v>
      </c>
      <c r="K93" s="196">
        <v>100</v>
      </c>
      <c r="L93" s="189" t="s">
        <v>1165</v>
      </c>
      <c r="M93" s="91"/>
    </row>
    <row r="94" spans="1:13" ht="25.5" x14ac:dyDescent="0.2">
      <c r="A94" s="37"/>
      <c r="B94" s="189"/>
      <c r="C94" s="190"/>
      <c r="D94" s="189" t="s">
        <v>538</v>
      </c>
      <c r="E94" s="196">
        <v>302</v>
      </c>
      <c r="F94" s="189" t="s">
        <v>1080</v>
      </c>
      <c r="G94" s="195"/>
      <c r="H94" s="80" t="s">
        <v>727</v>
      </c>
      <c r="I94" s="196">
        <v>1500</v>
      </c>
      <c r="J94" s="190" t="s">
        <v>816</v>
      </c>
      <c r="K94" s="196">
        <v>418</v>
      </c>
      <c r="L94" s="189" t="s">
        <v>1446</v>
      </c>
      <c r="M94" s="91"/>
    </row>
    <row r="95" spans="1:13" ht="25.5" x14ac:dyDescent="0.2">
      <c r="A95" s="37"/>
      <c r="B95" s="189"/>
      <c r="C95" s="190"/>
      <c r="D95" s="189" t="s">
        <v>538</v>
      </c>
      <c r="E95" s="196">
        <v>303</v>
      </c>
      <c r="F95" s="189" t="s">
        <v>1080</v>
      </c>
      <c r="G95" s="195"/>
      <c r="H95" s="80" t="s">
        <v>970</v>
      </c>
      <c r="I95" s="196">
        <v>2329</v>
      </c>
      <c r="J95" s="190" t="s">
        <v>816</v>
      </c>
      <c r="K95" s="196">
        <v>2465</v>
      </c>
      <c r="L95" s="196">
        <v>2329</v>
      </c>
      <c r="M95" s="91"/>
    </row>
    <row r="96" spans="1:13" ht="25.5" x14ac:dyDescent="0.2">
      <c r="A96" s="37"/>
      <c r="B96" s="189"/>
      <c r="C96" s="190"/>
      <c r="D96" s="189" t="s">
        <v>538</v>
      </c>
      <c r="E96" s="196">
        <v>304</v>
      </c>
      <c r="F96" s="189" t="s">
        <v>1080</v>
      </c>
      <c r="G96" s="195"/>
      <c r="H96" s="80" t="s">
        <v>764</v>
      </c>
      <c r="I96" s="196">
        <v>3600</v>
      </c>
      <c r="J96" s="190" t="s">
        <v>816</v>
      </c>
      <c r="K96" s="196">
        <v>440</v>
      </c>
      <c r="L96" s="189" t="s">
        <v>1378</v>
      </c>
      <c r="M96" s="91"/>
    </row>
    <row r="97" spans="1:13" ht="25.5" x14ac:dyDescent="0.2">
      <c r="A97" s="37"/>
      <c r="B97" s="189"/>
      <c r="C97" s="190"/>
      <c r="D97" s="189" t="s">
        <v>538</v>
      </c>
      <c r="E97" s="196">
        <v>305</v>
      </c>
      <c r="F97" s="189" t="s">
        <v>1080</v>
      </c>
      <c r="G97" s="195"/>
      <c r="H97" s="80" t="s">
        <v>270</v>
      </c>
      <c r="I97" s="196">
        <v>2000</v>
      </c>
      <c r="J97" s="190" t="s">
        <v>816</v>
      </c>
      <c r="K97" s="196">
        <v>956</v>
      </c>
      <c r="L97" s="196">
        <v>2000</v>
      </c>
      <c r="M97" s="91"/>
    </row>
    <row r="98" spans="1:13" ht="25.5" x14ac:dyDescent="0.2">
      <c r="A98" s="37"/>
      <c r="B98" s="189"/>
      <c r="C98" s="190"/>
      <c r="D98" s="189" t="s">
        <v>538</v>
      </c>
      <c r="E98" s="196">
        <v>306</v>
      </c>
      <c r="F98" s="189" t="s">
        <v>1080</v>
      </c>
      <c r="G98" s="195"/>
      <c r="H98" s="80" t="s">
        <v>181</v>
      </c>
      <c r="I98" s="196">
        <v>2500</v>
      </c>
      <c r="J98" s="190" t="s">
        <v>816</v>
      </c>
      <c r="K98" s="196">
        <v>537</v>
      </c>
      <c r="L98" s="189" t="s">
        <v>1447</v>
      </c>
      <c r="M98" s="91"/>
    </row>
    <row r="99" spans="1:13" ht="38.25" x14ac:dyDescent="0.2">
      <c r="A99" s="37">
        <v>7</v>
      </c>
      <c r="B99" s="189"/>
      <c r="C99" s="190"/>
      <c r="D99" s="189" t="s">
        <v>538</v>
      </c>
      <c r="E99" s="196">
        <v>307</v>
      </c>
      <c r="F99" s="189" t="s">
        <v>1080</v>
      </c>
      <c r="G99" s="195"/>
      <c r="H99" s="80" t="s">
        <v>991</v>
      </c>
      <c r="I99" s="196">
        <v>2800</v>
      </c>
      <c r="J99" s="190" t="s">
        <v>816</v>
      </c>
      <c r="K99" s="196">
        <v>399</v>
      </c>
      <c r="L99" s="189" t="s">
        <v>1448</v>
      </c>
      <c r="M99" s="194"/>
    </row>
    <row r="100" spans="1:13" ht="25.5" x14ac:dyDescent="0.2">
      <c r="A100" s="37">
        <v>7</v>
      </c>
      <c r="B100" s="189"/>
      <c r="C100" s="190"/>
      <c r="D100" s="189" t="s">
        <v>538</v>
      </c>
      <c r="E100" s="196">
        <v>308</v>
      </c>
      <c r="F100" s="189" t="s">
        <v>1080</v>
      </c>
      <c r="G100" s="195"/>
      <c r="H100" s="80" t="s">
        <v>388</v>
      </c>
      <c r="I100" s="196">
        <v>2500</v>
      </c>
      <c r="J100" s="190" t="s">
        <v>816</v>
      </c>
      <c r="K100" s="196">
        <v>1293</v>
      </c>
      <c r="L100" s="196">
        <v>2500</v>
      </c>
      <c r="M100" s="194"/>
    </row>
    <row r="101" spans="1:13" x14ac:dyDescent="0.2">
      <c r="A101" s="37">
        <v>7</v>
      </c>
      <c r="B101" s="189"/>
      <c r="C101" s="190"/>
      <c r="D101" s="175"/>
      <c r="E101" s="175"/>
      <c r="F101" s="175"/>
      <c r="G101" s="175"/>
      <c r="H101" s="175"/>
      <c r="I101" s="175"/>
      <c r="J101" s="175"/>
      <c r="K101" s="175"/>
      <c r="L101" s="175"/>
      <c r="M101" s="194"/>
    </row>
    <row r="102" spans="1:13" ht="38.25" x14ac:dyDescent="0.2">
      <c r="A102" s="37">
        <v>8</v>
      </c>
      <c r="B102" s="189"/>
      <c r="C102" s="190" t="s">
        <v>10</v>
      </c>
      <c r="D102" s="189"/>
      <c r="E102" s="189"/>
      <c r="F102" s="189"/>
      <c r="G102" s="195">
        <v>296109</v>
      </c>
      <c r="H102" s="80" t="s">
        <v>11</v>
      </c>
      <c r="I102" s="189"/>
      <c r="J102" s="190"/>
      <c r="K102" s="189"/>
      <c r="L102" s="189"/>
      <c r="M102" s="183">
        <f>+M103</f>
        <v>300000000</v>
      </c>
    </row>
    <row r="103" spans="1:13" x14ac:dyDescent="0.2">
      <c r="A103" s="37"/>
      <c r="B103" s="189"/>
      <c r="C103" s="190"/>
      <c r="D103" s="189"/>
      <c r="E103" s="189"/>
      <c r="F103" s="189"/>
      <c r="G103" s="195"/>
      <c r="H103" s="80" t="s">
        <v>579</v>
      </c>
      <c r="I103" s="189"/>
      <c r="J103" s="190"/>
      <c r="K103" s="189"/>
      <c r="L103" s="189"/>
      <c r="M103" s="183">
        <f>20000000+15000000+35000000+25000000+25000000+35000000+30000000+15000000+20000000+30000000+30000000+20000000</f>
        <v>300000000</v>
      </c>
    </row>
    <row r="104" spans="1:13" x14ac:dyDescent="0.2">
      <c r="A104" s="37">
        <v>4</v>
      </c>
      <c r="B104" s="189" t="s">
        <v>472</v>
      </c>
      <c r="C104" s="190"/>
      <c r="D104" s="189"/>
      <c r="E104" s="189"/>
      <c r="F104" s="189"/>
      <c r="G104" s="195"/>
      <c r="H104" s="173" t="s">
        <v>1012</v>
      </c>
      <c r="I104" s="189"/>
      <c r="J104" s="190"/>
      <c r="K104" s="189"/>
      <c r="L104" s="189"/>
      <c r="M104" s="91">
        <f>+M106</f>
        <v>5095000000</v>
      </c>
    </row>
    <row r="105" spans="1:13" ht="25.5" x14ac:dyDescent="0.2">
      <c r="A105" s="37">
        <v>5</v>
      </c>
      <c r="B105" s="189"/>
      <c r="C105" s="190"/>
      <c r="D105" s="189"/>
      <c r="E105" s="196">
        <v>201</v>
      </c>
      <c r="F105" s="189" t="s">
        <v>268</v>
      </c>
      <c r="G105" s="195"/>
      <c r="H105" s="80" t="s">
        <v>389</v>
      </c>
      <c r="I105" s="196">
        <v>45000</v>
      </c>
      <c r="J105" s="190" t="s">
        <v>524</v>
      </c>
      <c r="K105" s="196"/>
      <c r="L105" s="189"/>
      <c r="M105" s="194"/>
    </row>
    <row r="106" spans="1:13" x14ac:dyDescent="0.2">
      <c r="A106" s="37">
        <v>6</v>
      </c>
      <c r="B106" s="189" t="s">
        <v>885</v>
      </c>
      <c r="C106" s="190"/>
      <c r="D106" s="189"/>
      <c r="E106" s="189"/>
      <c r="F106" s="189"/>
      <c r="G106" s="195"/>
      <c r="H106" s="173" t="s">
        <v>263</v>
      </c>
      <c r="I106" s="189"/>
      <c r="J106" s="190"/>
      <c r="K106" s="189"/>
      <c r="L106" s="189"/>
      <c r="M106" s="91">
        <f>+M111+M114</f>
        <v>5095000000</v>
      </c>
    </row>
    <row r="107" spans="1:13" ht="38.25" x14ac:dyDescent="0.2">
      <c r="A107" s="37"/>
      <c r="B107" s="189"/>
      <c r="C107" s="190"/>
      <c r="D107" s="189" t="s">
        <v>310</v>
      </c>
      <c r="E107" s="196">
        <v>242</v>
      </c>
      <c r="F107" s="189" t="s">
        <v>1080</v>
      </c>
      <c r="G107" s="195"/>
      <c r="H107" s="80" t="s">
        <v>153</v>
      </c>
      <c r="I107" s="196">
        <v>116</v>
      </c>
      <c r="J107" s="190" t="s">
        <v>286</v>
      </c>
      <c r="K107" s="196">
        <v>33</v>
      </c>
      <c r="L107" s="189" t="s">
        <v>1441</v>
      </c>
      <c r="M107" s="91"/>
    </row>
    <row r="108" spans="1:13" ht="25.5" x14ac:dyDescent="0.2">
      <c r="A108" s="37">
        <v>7</v>
      </c>
      <c r="B108" s="189"/>
      <c r="C108" s="190"/>
      <c r="D108" s="189" t="s">
        <v>310</v>
      </c>
      <c r="E108" s="196">
        <v>243</v>
      </c>
      <c r="F108" s="189" t="s">
        <v>1080</v>
      </c>
      <c r="G108" s="195"/>
      <c r="H108" s="80" t="s">
        <v>1044</v>
      </c>
      <c r="I108" s="196">
        <v>40</v>
      </c>
      <c r="J108" s="190" t="s">
        <v>832</v>
      </c>
      <c r="K108" s="196">
        <v>5</v>
      </c>
      <c r="L108" s="189" t="s">
        <v>1443</v>
      </c>
      <c r="M108" s="194"/>
    </row>
    <row r="109" spans="1:13" ht="25.5" x14ac:dyDescent="0.2">
      <c r="A109" s="37">
        <v>7</v>
      </c>
      <c r="B109" s="189"/>
      <c r="C109" s="190"/>
      <c r="D109" s="189" t="s">
        <v>310</v>
      </c>
      <c r="E109" s="196">
        <v>244</v>
      </c>
      <c r="F109" s="189" t="s">
        <v>1080</v>
      </c>
      <c r="G109" s="195"/>
      <c r="H109" s="80" t="s">
        <v>763</v>
      </c>
      <c r="I109" s="196">
        <v>400000</v>
      </c>
      <c r="J109" s="190" t="s">
        <v>816</v>
      </c>
      <c r="K109" s="196">
        <v>302377</v>
      </c>
      <c r="L109" s="196">
        <v>400000</v>
      </c>
      <c r="M109" s="194"/>
    </row>
    <row r="110" spans="1:13" x14ac:dyDescent="0.2">
      <c r="A110" s="37">
        <v>7</v>
      </c>
      <c r="B110" s="189"/>
      <c r="C110" s="190"/>
      <c r="D110" s="175"/>
      <c r="E110" s="175"/>
      <c r="F110" s="175"/>
      <c r="G110" s="175"/>
      <c r="H110" s="175"/>
      <c r="I110" s="175"/>
      <c r="J110" s="175"/>
      <c r="K110" s="175"/>
      <c r="L110" s="175"/>
      <c r="M110" s="194"/>
    </row>
    <row r="111" spans="1:13" ht="25.5" x14ac:dyDescent="0.2">
      <c r="A111" s="37">
        <v>8</v>
      </c>
      <c r="B111" s="189"/>
      <c r="C111" s="190" t="s">
        <v>10</v>
      </c>
      <c r="D111" s="189"/>
      <c r="E111" s="189"/>
      <c r="F111" s="189"/>
      <c r="G111" s="195">
        <v>296107</v>
      </c>
      <c r="H111" s="80" t="s">
        <v>55</v>
      </c>
      <c r="I111" s="189"/>
      <c r="J111" s="190"/>
      <c r="K111" s="189"/>
      <c r="L111" s="189"/>
      <c r="M111" s="183">
        <f>+M112+M113</f>
        <v>3050000000</v>
      </c>
    </row>
    <row r="112" spans="1:13" x14ac:dyDescent="0.2">
      <c r="A112" s="37"/>
      <c r="B112" s="189"/>
      <c r="C112" s="190"/>
      <c r="D112" s="189"/>
      <c r="E112" s="189"/>
      <c r="F112" s="189"/>
      <c r="G112" s="195"/>
      <c r="H112" s="80" t="s">
        <v>810</v>
      </c>
      <c r="I112" s="189"/>
      <c r="J112" s="190"/>
      <c r="K112" s="189"/>
      <c r="L112" s="189"/>
      <c r="M112" s="183">
        <v>425000000</v>
      </c>
    </row>
    <row r="113" spans="1:140" x14ac:dyDescent="0.2">
      <c r="A113" s="37"/>
      <c r="B113" s="189"/>
      <c r="C113" s="190"/>
      <c r="D113" s="189"/>
      <c r="E113" s="189"/>
      <c r="F113" s="189"/>
      <c r="G113" s="195"/>
      <c r="H113" s="80" t="s">
        <v>1442</v>
      </c>
      <c r="I113" s="189"/>
      <c r="J113" s="190"/>
      <c r="K113" s="189"/>
      <c r="L113" s="189"/>
      <c r="M113" s="183">
        <v>2625000000</v>
      </c>
    </row>
    <row r="114" spans="1:140" ht="15" customHeight="1" x14ac:dyDescent="0.2">
      <c r="A114" s="37">
        <v>8</v>
      </c>
      <c r="B114" s="189"/>
      <c r="C114" s="190" t="s">
        <v>10</v>
      </c>
      <c r="D114" s="189"/>
      <c r="E114" s="189"/>
      <c r="F114" s="189"/>
      <c r="G114" s="195">
        <v>296108</v>
      </c>
      <c r="H114" s="80" t="s">
        <v>458</v>
      </c>
      <c r="I114" s="189"/>
      <c r="J114" s="190"/>
      <c r="K114" s="189"/>
      <c r="L114" s="189"/>
      <c r="M114" s="183">
        <f>+M116+M115</f>
        <v>2045000000</v>
      </c>
    </row>
    <row r="115" spans="1:140" x14ac:dyDescent="0.2">
      <c r="A115" s="37"/>
      <c r="B115" s="189"/>
      <c r="C115" s="190"/>
      <c r="D115" s="189"/>
      <c r="E115" s="189"/>
      <c r="F115" s="189"/>
      <c r="G115" s="195"/>
      <c r="H115" s="80" t="s">
        <v>1442</v>
      </c>
      <c r="I115" s="189"/>
      <c r="J115" s="190"/>
      <c r="K115" s="189"/>
      <c r="L115" s="189"/>
      <c r="M115" s="183">
        <v>1720000000</v>
      </c>
    </row>
    <row r="116" spans="1:140" x14ac:dyDescent="0.2">
      <c r="A116" s="37"/>
      <c r="B116" s="189"/>
      <c r="C116" s="190"/>
      <c r="D116" s="189"/>
      <c r="E116" s="189"/>
      <c r="F116" s="189"/>
      <c r="G116" s="195"/>
      <c r="H116" s="80" t="s">
        <v>810</v>
      </c>
      <c r="I116" s="189"/>
      <c r="J116" s="190"/>
      <c r="K116" s="189"/>
      <c r="L116" s="189"/>
      <c r="M116" s="183">
        <f>300000000+25000000</f>
        <v>325000000</v>
      </c>
    </row>
    <row r="117" spans="1:140" x14ac:dyDescent="0.2">
      <c r="A117" s="37"/>
      <c r="B117" s="189"/>
      <c r="C117" s="190"/>
      <c r="D117" s="189"/>
      <c r="E117" s="189"/>
      <c r="F117" s="189"/>
      <c r="G117" s="195"/>
      <c r="H117" s="80"/>
      <c r="I117" s="189"/>
      <c r="J117" s="190"/>
      <c r="K117" s="189"/>
      <c r="L117" s="189"/>
      <c r="M117" s="183"/>
    </row>
    <row r="118" spans="1:140" ht="30" x14ac:dyDescent="0.25">
      <c r="A118" s="37">
        <v>10</v>
      </c>
      <c r="B118" s="189"/>
      <c r="C118" s="190"/>
      <c r="D118" s="189"/>
      <c r="E118" s="189"/>
      <c r="F118" s="189"/>
      <c r="G118" s="195"/>
      <c r="H118" s="178" t="s">
        <v>605</v>
      </c>
      <c r="I118" s="208"/>
      <c r="J118" s="207"/>
      <c r="K118" s="208"/>
      <c r="L118" s="208"/>
      <c r="M118" s="202">
        <f>+M10</f>
        <v>16315805000</v>
      </c>
    </row>
    <row r="119" spans="1:140" ht="15" x14ac:dyDescent="0.25">
      <c r="A119" s="37"/>
      <c r="B119" s="52"/>
      <c r="C119" s="53"/>
      <c r="D119" s="52"/>
      <c r="E119" s="52"/>
      <c r="F119" s="52"/>
      <c r="G119" s="61"/>
      <c r="H119" s="63"/>
      <c r="I119" s="59"/>
      <c r="J119" s="58"/>
      <c r="K119" s="59"/>
      <c r="L119" s="59"/>
      <c r="M119" s="64"/>
    </row>
    <row r="120" spans="1:140" s="36" customFormat="1" x14ac:dyDescent="0.2">
      <c r="A120" s="32"/>
      <c r="B120" s="69"/>
      <c r="C120" s="70"/>
      <c r="D120" s="69"/>
      <c r="E120" s="69"/>
      <c r="F120" s="69"/>
      <c r="G120" s="61"/>
      <c r="I120" s="69"/>
      <c r="J120" s="70"/>
      <c r="K120" s="69"/>
      <c r="L120" s="69"/>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row>
    <row r="121" spans="1:140" s="36" customFormat="1" x14ac:dyDescent="0.2">
      <c r="A121" s="32"/>
      <c r="B121" s="69"/>
      <c r="C121" s="70"/>
      <c r="D121" s="69"/>
      <c r="E121" s="69"/>
      <c r="F121" s="69"/>
      <c r="G121" s="61"/>
      <c r="I121" s="69"/>
      <c r="J121" s="70"/>
      <c r="K121" s="69"/>
      <c r="L121" s="69"/>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row>
    <row r="122" spans="1:140" s="36" customFormat="1" x14ac:dyDescent="0.2">
      <c r="A122" s="32"/>
      <c r="B122" s="69"/>
      <c r="C122" s="70"/>
      <c r="D122" s="69"/>
      <c r="E122" s="69"/>
      <c r="F122" s="69"/>
      <c r="G122" s="61"/>
      <c r="I122" s="69"/>
      <c r="J122" s="70"/>
      <c r="K122" s="69"/>
      <c r="L122" s="69"/>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row>
    <row r="123" spans="1:140" s="36" customFormat="1" x14ac:dyDescent="0.2">
      <c r="A123" s="32"/>
      <c r="B123" s="69"/>
      <c r="C123" s="70"/>
      <c r="D123" s="69"/>
      <c r="E123" s="69"/>
      <c r="F123" s="69"/>
      <c r="G123" s="61"/>
      <c r="I123" s="69"/>
      <c r="J123" s="70"/>
      <c r="K123" s="69"/>
      <c r="L123" s="69"/>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row>
  </sheetData>
  <mergeCells count="1">
    <mergeCell ref="B2:M2"/>
  </mergeCells>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65"/>
  <sheetViews>
    <sheetView topLeftCell="J1" zoomScale="80" zoomScaleNormal="80" workbookViewId="0">
      <selection activeCell="N21" sqref="N21:AH21"/>
    </sheetView>
  </sheetViews>
  <sheetFormatPr baseColWidth="10" defaultColWidth="9.140625" defaultRowHeight="12.75" x14ac:dyDescent="0.2"/>
  <cols>
    <col min="1" max="1" width="13.42578125" hidden="1" customWidth="1"/>
    <col min="2" max="2" width="9.42578125" style="4" customWidth="1"/>
    <col min="3" max="3" width="18" style="3" customWidth="1"/>
    <col min="4" max="4" width="8.28515625" style="4" customWidth="1"/>
    <col min="5" max="5" width="9.140625" style="4"/>
    <col min="6" max="6" width="12.85546875" style="4" customWidth="1"/>
    <col min="7" max="7" width="10" style="4" customWidth="1"/>
    <col min="8" max="8" width="69.140625" style="2" customWidth="1"/>
    <col min="9" max="9" width="11.7109375" style="4" customWidth="1"/>
    <col min="10" max="10" width="16.28515625" style="3" customWidth="1"/>
    <col min="11" max="11" width="16" style="4" customWidth="1"/>
    <col min="12" max="12" width="11" style="4" customWidth="1"/>
    <col min="13" max="13" width="20.28515625" customWidth="1"/>
  </cols>
  <sheetData>
    <row r="1" spans="1:144" x14ac:dyDescent="0.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row>
    <row r="2" spans="1:144" ht="24" customHeight="1" x14ac:dyDescent="0.2">
      <c r="B2" s="185" t="s">
        <v>1103</v>
      </c>
      <c r="C2" s="185"/>
      <c r="D2" s="185"/>
      <c r="E2" s="185"/>
      <c r="F2" s="185"/>
      <c r="G2" s="185"/>
      <c r="H2" s="185"/>
      <c r="I2" s="185"/>
      <c r="J2" s="185"/>
      <c r="K2" s="185"/>
      <c r="L2" s="185"/>
      <c r="M2" s="185"/>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row>
    <row r="3" spans="1:144" x14ac:dyDescent="0.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row>
    <row r="4" spans="1:144" s="7" customFormat="1" ht="38.25" x14ac:dyDescent="0.2">
      <c r="A4" s="7" t="s">
        <v>641</v>
      </c>
      <c r="B4" s="10" t="s">
        <v>1100</v>
      </c>
      <c r="C4" s="10" t="s">
        <v>1092</v>
      </c>
      <c r="D4" s="9" t="s">
        <v>1091</v>
      </c>
      <c r="E4" s="10" t="s">
        <v>1097</v>
      </c>
      <c r="F4" s="9" t="s">
        <v>1098</v>
      </c>
      <c r="G4" s="9" t="s">
        <v>1093</v>
      </c>
      <c r="H4" s="10" t="s">
        <v>409</v>
      </c>
      <c r="I4" s="10" t="s">
        <v>1094</v>
      </c>
      <c r="J4" s="10" t="s">
        <v>1095</v>
      </c>
      <c r="K4" s="10" t="s">
        <v>1104</v>
      </c>
      <c r="L4" s="10" t="s">
        <v>1096</v>
      </c>
      <c r="M4" s="10"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3"/>
      <c r="EG4" s="33"/>
      <c r="EH4" s="33"/>
      <c r="EI4" s="33"/>
      <c r="EJ4" s="33"/>
      <c r="EK4" s="33"/>
      <c r="EL4" s="33"/>
      <c r="EM4" s="33"/>
      <c r="EN4" s="33"/>
    </row>
    <row r="5" spans="1:144" x14ac:dyDescent="0.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row>
    <row r="6" spans="1:144" ht="15" x14ac:dyDescent="0.25">
      <c r="A6" s="1"/>
      <c r="B6" s="52"/>
      <c r="C6" s="53"/>
      <c r="D6" s="52"/>
      <c r="E6" s="52"/>
      <c r="F6" s="52"/>
      <c r="G6" s="61"/>
      <c r="H6" s="63"/>
      <c r="I6" s="59"/>
      <c r="J6" s="58"/>
      <c r="K6" s="59"/>
      <c r="L6" s="59"/>
      <c r="M6" s="64"/>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row>
    <row r="7" spans="1:144" ht="15.75" x14ac:dyDescent="0.2">
      <c r="A7" s="1">
        <v>0</v>
      </c>
      <c r="B7" s="52"/>
      <c r="C7" s="53"/>
      <c r="D7" s="52"/>
      <c r="E7" s="52"/>
      <c r="F7" s="52"/>
      <c r="G7" s="61"/>
      <c r="H7" s="51" t="s">
        <v>570</v>
      </c>
      <c r="I7" s="52"/>
      <c r="J7" s="53"/>
      <c r="K7" s="52"/>
      <c r="L7" s="52"/>
      <c r="M7" s="54"/>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row>
    <row r="8" spans="1:144" ht="15.75" x14ac:dyDescent="0.2">
      <c r="A8" s="1">
        <v>1</v>
      </c>
      <c r="B8" s="52"/>
      <c r="C8" s="53"/>
      <c r="D8" s="52"/>
      <c r="E8" s="52"/>
      <c r="F8" s="52"/>
      <c r="G8" s="61"/>
      <c r="H8" s="51" t="s">
        <v>516</v>
      </c>
      <c r="I8" s="52"/>
      <c r="J8" s="53"/>
      <c r="K8" s="52"/>
      <c r="L8" s="52"/>
      <c r="M8" s="54"/>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row>
    <row r="9" spans="1:144" x14ac:dyDescent="0.2">
      <c r="A9" s="1">
        <v>2</v>
      </c>
      <c r="B9" s="52"/>
      <c r="C9" s="53"/>
      <c r="D9" s="52"/>
      <c r="E9" s="52"/>
      <c r="F9" s="52"/>
      <c r="G9" s="61"/>
      <c r="H9" s="42"/>
      <c r="I9" s="52"/>
      <c r="J9" s="53"/>
      <c r="K9" s="52"/>
      <c r="L9" s="52"/>
      <c r="M9" s="54"/>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row>
    <row r="10" spans="1:144" ht="25.5" x14ac:dyDescent="0.2">
      <c r="A10" s="1">
        <v>3</v>
      </c>
      <c r="B10" s="52" t="s">
        <v>841</v>
      </c>
      <c r="C10" s="53"/>
      <c r="D10" s="52"/>
      <c r="E10" s="52"/>
      <c r="F10" s="52"/>
      <c r="G10" s="61"/>
      <c r="H10" s="56" t="s">
        <v>165</v>
      </c>
      <c r="I10" s="52"/>
      <c r="J10" s="53"/>
      <c r="K10" s="52"/>
      <c r="L10" s="52"/>
      <c r="M10" s="38">
        <f>+M11</f>
        <v>88104232899</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row>
    <row r="11" spans="1:144" x14ac:dyDescent="0.2">
      <c r="A11" s="1">
        <v>4</v>
      </c>
      <c r="B11" s="52" t="s">
        <v>497</v>
      </c>
      <c r="C11" s="53"/>
      <c r="D11" s="52"/>
      <c r="E11" s="52"/>
      <c r="F11" s="52"/>
      <c r="G11" s="61"/>
      <c r="H11" s="56" t="s">
        <v>355</v>
      </c>
      <c r="I11" s="52"/>
      <c r="J11" s="53"/>
      <c r="K11" s="52"/>
      <c r="L11" s="52"/>
      <c r="M11" s="38">
        <f>+M13</f>
        <v>88104232899</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row>
    <row r="12" spans="1:144" ht="25.5" x14ac:dyDescent="0.2">
      <c r="A12" s="1">
        <v>5</v>
      </c>
      <c r="B12" s="52"/>
      <c r="C12" s="53"/>
      <c r="D12" s="52"/>
      <c r="E12" s="55">
        <v>613</v>
      </c>
      <c r="F12" s="52" t="s">
        <v>268</v>
      </c>
      <c r="G12" s="61"/>
      <c r="H12" s="42" t="s">
        <v>613</v>
      </c>
      <c r="I12" s="55">
        <v>15</v>
      </c>
      <c r="J12" s="53" t="s">
        <v>440</v>
      </c>
      <c r="K12" s="55"/>
      <c r="L12" s="52"/>
      <c r="M12" s="54"/>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row>
    <row r="13" spans="1:144" x14ac:dyDescent="0.2">
      <c r="A13" s="1">
        <v>6</v>
      </c>
      <c r="B13" s="52" t="s">
        <v>955</v>
      </c>
      <c r="C13" s="53"/>
      <c r="D13" s="52"/>
      <c r="E13" s="52"/>
      <c r="F13" s="52"/>
      <c r="G13" s="61"/>
      <c r="H13" s="56" t="s">
        <v>557</v>
      </c>
      <c r="I13" s="52"/>
      <c r="J13" s="53"/>
      <c r="K13" s="52"/>
      <c r="L13" s="52"/>
      <c r="M13" s="38">
        <f>+M16+M18</f>
        <v>88104232899</v>
      </c>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row>
    <row r="14" spans="1:144" ht="25.5" x14ac:dyDescent="0.2">
      <c r="A14" s="1"/>
      <c r="B14" s="52"/>
      <c r="C14" s="53"/>
      <c r="D14" s="52" t="s">
        <v>597</v>
      </c>
      <c r="E14" s="55">
        <v>532</v>
      </c>
      <c r="F14" s="52" t="s">
        <v>1080</v>
      </c>
      <c r="G14" s="61"/>
      <c r="H14" s="42" t="s">
        <v>164</v>
      </c>
      <c r="I14" s="55">
        <v>496171</v>
      </c>
      <c r="J14" s="53" t="s">
        <v>689</v>
      </c>
      <c r="K14" s="52" t="s">
        <v>1228</v>
      </c>
      <c r="L14" s="52" t="s">
        <v>1229</v>
      </c>
      <c r="M14" s="38"/>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row>
    <row r="15" spans="1:144" ht="25.5" x14ac:dyDescent="0.2">
      <c r="A15" s="1">
        <v>7</v>
      </c>
      <c r="B15" s="52"/>
      <c r="C15" s="53"/>
      <c r="D15" s="52" t="s">
        <v>597</v>
      </c>
      <c r="E15" s="55">
        <v>533</v>
      </c>
      <c r="F15" s="52" t="s">
        <v>1080</v>
      </c>
      <c r="G15" s="61"/>
      <c r="H15" s="42" t="s">
        <v>721</v>
      </c>
      <c r="I15" s="55">
        <v>50</v>
      </c>
      <c r="J15" s="53" t="s">
        <v>179</v>
      </c>
      <c r="K15" s="52">
        <v>50.43</v>
      </c>
      <c r="L15" s="52" t="s">
        <v>1227</v>
      </c>
      <c r="M15" s="54"/>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row>
    <row r="16" spans="1:144" ht="38.25" x14ac:dyDescent="0.2">
      <c r="A16" s="1">
        <v>8</v>
      </c>
      <c r="B16" s="52"/>
      <c r="C16" s="53" t="s">
        <v>10</v>
      </c>
      <c r="D16" s="52"/>
      <c r="E16" s="52"/>
      <c r="F16" s="52"/>
      <c r="G16" s="61">
        <v>295940</v>
      </c>
      <c r="H16" s="42" t="s">
        <v>851</v>
      </c>
      <c r="I16" s="52"/>
      <c r="J16" s="53"/>
      <c r="K16" s="52"/>
      <c r="L16" s="52"/>
      <c r="M16" s="37">
        <f>+M17</f>
        <v>4100000000</v>
      </c>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row>
    <row r="17" spans="1:144" x14ac:dyDescent="0.2">
      <c r="A17" s="1">
        <v>9</v>
      </c>
      <c r="B17" s="52"/>
      <c r="C17" s="53"/>
      <c r="D17" s="52"/>
      <c r="E17" s="52"/>
      <c r="F17" s="52"/>
      <c r="G17" s="61"/>
      <c r="H17" s="42" t="s">
        <v>362</v>
      </c>
      <c r="I17" s="52"/>
      <c r="J17" s="53"/>
      <c r="K17" s="52"/>
      <c r="L17" s="52"/>
      <c r="M17" s="37">
        <v>4100000000</v>
      </c>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row>
    <row r="18" spans="1:144" ht="25.5" x14ac:dyDescent="0.2">
      <c r="A18" s="1">
        <v>8</v>
      </c>
      <c r="B18" s="52"/>
      <c r="C18" s="53" t="s">
        <v>10</v>
      </c>
      <c r="D18" s="52"/>
      <c r="E18" s="52"/>
      <c r="F18" s="52"/>
      <c r="G18" s="61">
        <v>295939</v>
      </c>
      <c r="H18" s="42" t="s">
        <v>269</v>
      </c>
      <c r="I18" s="52"/>
      <c r="J18" s="53"/>
      <c r="K18" s="52"/>
      <c r="L18" s="52"/>
      <c r="M18" s="37">
        <f>+M19</f>
        <v>84004232899</v>
      </c>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row>
    <row r="19" spans="1:144" x14ac:dyDescent="0.2">
      <c r="A19" s="1">
        <v>9</v>
      </c>
      <c r="B19" s="52"/>
      <c r="C19" s="53"/>
      <c r="D19" s="52"/>
      <c r="E19" s="52"/>
      <c r="F19" s="52"/>
      <c r="G19" s="61"/>
      <c r="H19" s="42" t="s">
        <v>362</v>
      </c>
      <c r="I19" s="52"/>
      <c r="J19" s="53"/>
      <c r="K19" s="52"/>
      <c r="L19" s="52"/>
      <c r="M19" s="37">
        <v>84004232899</v>
      </c>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row>
    <row r="20" spans="1:144" x14ac:dyDescent="0.2">
      <c r="A20" s="1"/>
      <c r="B20" s="52"/>
      <c r="C20" s="53"/>
      <c r="D20" s="52"/>
      <c r="E20" s="52"/>
      <c r="F20" s="52"/>
      <c r="G20" s="61"/>
      <c r="H20" s="42"/>
      <c r="I20" s="52"/>
      <c r="J20" s="53"/>
      <c r="K20" s="52"/>
      <c r="L20" s="52"/>
      <c r="M20" s="37"/>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row>
    <row r="21" spans="1:144" ht="15" x14ac:dyDescent="0.25">
      <c r="A21" s="1">
        <v>10</v>
      </c>
      <c r="B21" s="52"/>
      <c r="C21" s="53"/>
      <c r="D21" s="52"/>
      <c r="E21" s="52"/>
      <c r="F21" s="52"/>
      <c r="G21" s="61"/>
      <c r="H21" s="63" t="s">
        <v>323</v>
      </c>
      <c r="I21" s="59"/>
      <c r="J21" s="58"/>
      <c r="K21" s="59"/>
      <c r="L21" s="59"/>
      <c r="M21" s="64">
        <f>+M10</f>
        <v>88104232899</v>
      </c>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row>
    <row r="22" spans="1:144" x14ac:dyDescent="0.2">
      <c r="A22" s="1"/>
      <c r="B22" s="52"/>
      <c r="C22" s="53"/>
      <c r="D22" s="52"/>
      <c r="E22" s="52"/>
      <c r="F22" s="52"/>
      <c r="G22" s="61"/>
      <c r="H22" s="42"/>
      <c r="I22" s="52"/>
      <c r="J22" s="53"/>
      <c r="K22" s="52"/>
      <c r="L22" s="52"/>
      <c r="M22" s="37"/>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row>
    <row r="23" spans="1:144" s="2" customFormat="1" x14ac:dyDescent="0.2">
      <c r="A23"/>
      <c r="B23" s="4"/>
      <c r="C23" s="3"/>
      <c r="D23" s="4"/>
      <c r="E23" s="4"/>
      <c r="F23" s="4"/>
      <c r="G23" s="11"/>
      <c r="I23" s="4"/>
      <c r="J23" s="3"/>
      <c r="K23" s="4"/>
      <c r="L23" s="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row>
    <row r="24" spans="1:144" s="2" customFormat="1" x14ac:dyDescent="0.2">
      <c r="A24"/>
      <c r="B24" s="4"/>
      <c r="C24" s="3"/>
      <c r="D24" s="4"/>
      <c r="E24" s="4"/>
      <c r="F24" s="4"/>
      <c r="G24" s="11"/>
      <c r="I24" s="4"/>
      <c r="J24" s="3"/>
      <c r="K24" s="4"/>
      <c r="L24" s="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row>
    <row r="25" spans="1:144" s="2" customFormat="1" x14ac:dyDescent="0.2">
      <c r="A25"/>
      <c r="B25" s="4"/>
      <c r="C25" s="3"/>
      <c r="D25" s="4"/>
      <c r="E25" s="4"/>
      <c r="F25" s="4"/>
      <c r="G25" s="11"/>
      <c r="I25" s="4"/>
      <c r="J25" s="3"/>
      <c r="K25" s="4"/>
      <c r="L25" s="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row>
    <row r="26" spans="1:144" s="2" customFormat="1" x14ac:dyDescent="0.2">
      <c r="A26"/>
      <c r="B26" s="4"/>
      <c r="C26" s="3"/>
      <c r="D26" s="4"/>
      <c r="E26" s="4"/>
      <c r="F26" s="4"/>
      <c r="G26" s="11"/>
      <c r="I26" s="4"/>
      <c r="J26" s="3"/>
      <c r="K26" s="4"/>
      <c r="L26" s="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row>
    <row r="27" spans="1:144" s="2" customFormat="1" x14ac:dyDescent="0.2">
      <c r="A27"/>
      <c r="B27" s="4"/>
      <c r="C27" s="3"/>
      <c r="D27" s="4"/>
      <c r="E27" s="4"/>
      <c r="F27" s="4"/>
      <c r="G27" s="11"/>
      <c r="I27" s="4"/>
      <c r="J27" s="3"/>
      <c r="K27" s="4"/>
      <c r="L27" s="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row>
    <row r="28" spans="1:144" s="2" customFormat="1" x14ac:dyDescent="0.2">
      <c r="A28"/>
      <c r="B28" s="4"/>
      <c r="C28" s="3"/>
      <c r="D28" s="4"/>
      <c r="E28" s="4"/>
      <c r="F28" s="4"/>
      <c r="G28" s="11"/>
      <c r="I28" s="4"/>
      <c r="J28" s="3"/>
      <c r="K28" s="4"/>
      <c r="L28" s="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row>
    <row r="29" spans="1:144" s="2" customFormat="1" x14ac:dyDescent="0.2">
      <c r="A29"/>
      <c r="B29" s="4"/>
      <c r="C29" s="3"/>
      <c r="D29" s="4"/>
      <c r="E29" s="4"/>
      <c r="F29" s="4"/>
      <c r="G29" s="11"/>
      <c r="I29" s="4"/>
      <c r="J29" s="3"/>
      <c r="K29" s="4"/>
      <c r="L29" s="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row>
    <row r="30" spans="1:144" s="2" customFormat="1" x14ac:dyDescent="0.2">
      <c r="A30"/>
      <c r="B30" s="4"/>
      <c r="C30" s="3"/>
      <c r="D30" s="4"/>
      <c r="E30" s="4"/>
      <c r="F30" s="4"/>
      <c r="G30" s="11"/>
      <c r="I30" s="4"/>
      <c r="J30" s="3"/>
      <c r="K30" s="4"/>
      <c r="L30" s="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row>
    <row r="31" spans="1:144" s="2" customFormat="1" x14ac:dyDescent="0.2">
      <c r="A31"/>
      <c r="B31" s="4"/>
      <c r="C31" s="3"/>
      <c r="D31" s="4"/>
      <c r="E31" s="4"/>
      <c r="F31" s="4"/>
      <c r="G31" s="11"/>
      <c r="I31" s="4"/>
      <c r="J31" s="3"/>
      <c r="K31" s="4"/>
      <c r="L31" s="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row>
    <row r="32" spans="1:144" s="2" customFormat="1" x14ac:dyDescent="0.2">
      <c r="A32"/>
      <c r="B32" s="4"/>
      <c r="C32" s="3"/>
      <c r="D32" s="4"/>
      <c r="E32" s="4"/>
      <c r="F32" s="4"/>
      <c r="G32" s="11"/>
      <c r="I32" s="4"/>
      <c r="J32" s="3"/>
      <c r="K32" s="4"/>
      <c r="L32" s="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row>
    <row r="33" spans="1:135" s="2" customFormat="1" x14ac:dyDescent="0.2">
      <c r="A33"/>
      <c r="B33" s="4"/>
      <c r="C33" s="3"/>
      <c r="D33" s="4"/>
      <c r="E33" s="4"/>
      <c r="F33" s="4"/>
      <c r="G33" s="11"/>
      <c r="I33" s="4"/>
      <c r="J33" s="3"/>
      <c r="K33" s="4"/>
      <c r="L33" s="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row>
    <row r="34" spans="1:135" s="2" customFormat="1" x14ac:dyDescent="0.2">
      <c r="A34"/>
      <c r="B34" s="4"/>
      <c r="C34" s="3"/>
      <c r="D34" s="4"/>
      <c r="E34" s="4"/>
      <c r="F34" s="4"/>
      <c r="G34" s="11"/>
      <c r="I34" s="4"/>
      <c r="J34" s="3"/>
      <c r="K34" s="4"/>
      <c r="L34" s="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row>
    <row r="35" spans="1:135" s="2" customFormat="1" x14ac:dyDescent="0.2">
      <c r="A35"/>
      <c r="B35" s="4"/>
      <c r="C35" s="3"/>
      <c r="D35" s="4"/>
      <c r="E35" s="4"/>
      <c r="F35" s="4"/>
      <c r="G35" s="11"/>
      <c r="I35" s="4"/>
      <c r="J35" s="3"/>
      <c r="K35" s="4"/>
      <c r="L35" s="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row>
    <row r="36" spans="1:135" s="2" customFormat="1" x14ac:dyDescent="0.2">
      <c r="A36"/>
      <c r="B36" s="4"/>
      <c r="C36" s="3"/>
      <c r="D36" s="4"/>
      <c r="E36" s="4"/>
      <c r="F36" s="4"/>
      <c r="G36" s="11"/>
      <c r="I36" s="4"/>
      <c r="J36" s="3"/>
      <c r="K36" s="4"/>
      <c r="L36" s="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row>
    <row r="37" spans="1:135" s="2" customFormat="1" x14ac:dyDescent="0.2">
      <c r="A37"/>
      <c r="B37" s="4"/>
      <c r="C37" s="3"/>
      <c r="D37" s="4"/>
      <c r="E37" s="4"/>
      <c r="F37" s="4"/>
      <c r="G37" s="11"/>
      <c r="I37" s="4"/>
      <c r="J37" s="3"/>
      <c r="K37" s="4"/>
      <c r="L37" s="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row>
    <row r="38" spans="1:135" s="2" customFormat="1" x14ac:dyDescent="0.2">
      <c r="A38"/>
      <c r="B38" s="4"/>
      <c r="C38" s="3"/>
      <c r="D38" s="4"/>
      <c r="E38" s="4"/>
      <c r="F38" s="4"/>
      <c r="G38" s="11"/>
      <c r="I38" s="4"/>
      <c r="J38" s="3"/>
      <c r="K38" s="4"/>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row>
    <row r="39" spans="1:135" s="2" customFormat="1" x14ac:dyDescent="0.2">
      <c r="A39"/>
      <c r="B39" s="4"/>
      <c r="C39" s="3"/>
      <c r="D39" s="4"/>
      <c r="E39" s="4"/>
      <c r="F39" s="4"/>
      <c r="G39" s="11"/>
      <c r="I39" s="4"/>
      <c r="J39" s="3"/>
      <c r="K39" s="4"/>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row>
    <row r="40" spans="1:135" s="2" customFormat="1" x14ac:dyDescent="0.2">
      <c r="A40"/>
      <c r="B40" s="4"/>
      <c r="C40" s="3"/>
      <c r="D40" s="4"/>
      <c r="E40" s="4"/>
      <c r="F40" s="4"/>
      <c r="G40" s="11"/>
      <c r="I40" s="4"/>
      <c r="J40" s="3"/>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row>
    <row r="41" spans="1:135" s="2" customFormat="1" x14ac:dyDescent="0.2">
      <c r="A41"/>
      <c r="B41" s="4"/>
      <c r="C41" s="3"/>
      <c r="D41" s="4"/>
      <c r="E41" s="4"/>
      <c r="F41" s="4"/>
      <c r="G41" s="11"/>
      <c r="I41" s="4"/>
      <c r="J41" s="3"/>
      <c r="K41" s="4"/>
      <c r="L41" s="4"/>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row>
    <row r="42" spans="1:135" s="2" customFormat="1" x14ac:dyDescent="0.2">
      <c r="A42"/>
      <c r="B42" s="4"/>
      <c r="C42" s="3"/>
      <c r="D42" s="4"/>
      <c r="E42" s="4"/>
      <c r="F42" s="4"/>
      <c r="G42" s="11"/>
      <c r="I42" s="4"/>
      <c r="J42" s="3"/>
      <c r="K42" s="4"/>
      <c r="L42" s="4"/>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row>
    <row r="43" spans="1:135" s="2" customFormat="1" x14ac:dyDescent="0.2">
      <c r="A43"/>
      <c r="B43" s="4"/>
      <c r="C43" s="3"/>
      <c r="D43" s="4"/>
      <c r="E43" s="4"/>
      <c r="F43" s="4"/>
      <c r="G43" s="11"/>
      <c r="I43" s="4"/>
      <c r="J43" s="3"/>
      <c r="K43" s="4"/>
      <c r="L43" s="4"/>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row>
    <row r="44" spans="1:135" s="2" customFormat="1" x14ac:dyDescent="0.2">
      <c r="A44"/>
      <c r="B44" s="4"/>
      <c r="C44" s="3"/>
      <c r="D44" s="4"/>
      <c r="E44" s="4"/>
      <c r="F44" s="4"/>
      <c r="G44" s="11"/>
      <c r="I44" s="4"/>
      <c r="J44" s="3"/>
      <c r="K44" s="4"/>
      <c r="L44" s="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row>
    <row r="45" spans="1:135" s="2" customFormat="1" x14ac:dyDescent="0.2">
      <c r="A45"/>
      <c r="B45" s="4"/>
      <c r="C45" s="3"/>
      <c r="D45" s="4"/>
      <c r="E45" s="4"/>
      <c r="F45" s="4"/>
      <c r="G45" s="11"/>
      <c r="I45" s="4"/>
      <c r="J45" s="3"/>
      <c r="K45" s="4"/>
      <c r="L45" s="4"/>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row>
    <row r="46" spans="1:135" s="2" customFormat="1" x14ac:dyDescent="0.2">
      <c r="A46"/>
      <c r="B46" s="4"/>
      <c r="C46" s="3"/>
      <c r="D46" s="4"/>
      <c r="E46" s="4"/>
      <c r="F46" s="4"/>
      <c r="G46" s="11"/>
      <c r="I46" s="4"/>
      <c r="J46" s="3"/>
      <c r="K46" s="4"/>
      <c r="L46" s="4"/>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row>
    <row r="47" spans="1:135" s="2" customFormat="1" x14ac:dyDescent="0.2">
      <c r="A47"/>
      <c r="B47" s="4"/>
      <c r="C47" s="3"/>
      <c r="D47" s="4"/>
      <c r="E47" s="4"/>
      <c r="F47" s="4"/>
      <c r="G47" s="11"/>
      <c r="I47" s="4"/>
      <c r="J47" s="3"/>
      <c r="K47" s="4"/>
      <c r="L47" s="4"/>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row>
    <row r="48" spans="1:135" s="2" customFormat="1" x14ac:dyDescent="0.2">
      <c r="A48"/>
      <c r="B48" s="4"/>
      <c r="C48" s="3"/>
      <c r="D48" s="4"/>
      <c r="E48" s="4"/>
      <c r="F48" s="4"/>
      <c r="G48" s="11"/>
      <c r="I48" s="4"/>
      <c r="J48" s="3"/>
      <c r="K48" s="4"/>
      <c r="L48" s="4"/>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row>
    <row r="49" spans="1:135" s="2" customFormat="1" x14ac:dyDescent="0.2">
      <c r="A49"/>
      <c r="B49" s="4"/>
      <c r="C49" s="3"/>
      <c r="D49" s="4"/>
      <c r="E49" s="4"/>
      <c r="F49" s="4"/>
      <c r="G49" s="11"/>
      <c r="I49" s="4"/>
      <c r="J49" s="3"/>
      <c r="K49" s="4"/>
      <c r="L49" s="4"/>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row>
    <row r="50" spans="1:135" s="2" customFormat="1" x14ac:dyDescent="0.2">
      <c r="A50"/>
      <c r="B50" s="4"/>
      <c r="C50" s="3"/>
      <c r="D50" s="4"/>
      <c r="E50" s="4"/>
      <c r="F50" s="4"/>
      <c r="G50" s="11"/>
      <c r="I50" s="4"/>
      <c r="J50" s="3"/>
      <c r="K50" s="4"/>
      <c r="L50" s="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row>
    <row r="51" spans="1:135" s="2" customFormat="1" x14ac:dyDescent="0.2">
      <c r="A51"/>
      <c r="B51" s="4"/>
      <c r="C51" s="3"/>
      <c r="D51" s="4"/>
      <c r="E51" s="4"/>
      <c r="F51" s="4"/>
      <c r="G51" s="11"/>
      <c r="I51" s="4"/>
      <c r="J51" s="3"/>
      <c r="K51" s="4"/>
      <c r="L51" s="4"/>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row>
    <row r="52" spans="1:135" s="2" customFormat="1" x14ac:dyDescent="0.2">
      <c r="A52"/>
      <c r="B52" s="4"/>
      <c r="C52" s="3"/>
      <c r="D52" s="4"/>
      <c r="E52" s="4"/>
      <c r="F52" s="4"/>
      <c r="G52" s="11"/>
      <c r="I52" s="4"/>
      <c r="J52" s="3"/>
      <c r="K52" s="4"/>
      <c r="L52" s="4"/>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row>
    <row r="53" spans="1:135" s="2" customFormat="1" x14ac:dyDescent="0.2">
      <c r="A53"/>
      <c r="B53" s="4"/>
      <c r="C53" s="3"/>
      <c r="D53" s="4"/>
      <c r="E53" s="4"/>
      <c r="F53" s="4"/>
      <c r="G53" s="11"/>
      <c r="I53" s="4"/>
      <c r="J53" s="3"/>
      <c r="K53" s="4"/>
      <c r="L53" s="4"/>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row>
    <row r="54" spans="1:135" s="2" customFormat="1" x14ac:dyDescent="0.2">
      <c r="A54"/>
      <c r="B54" s="4"/>
      <c r="C54" s="3"/>
      <c r="D54" s="4"/>
      <c r="E54" s="4"/>
      <c r="F54" s="4"/>
      <c r="G54" s="11"/>
      <c r="I54" s="4"/>
      <c r="J54" s="3"/>
      <c r="K54" s="4"/>
      <c r="L54" s="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row>
    <row r="55" spans="1:135" s="2" customFormat="1" x14ac:dyDescent="0.2">
      <c r="A55"/>
      <c r="B55" s="4"/>
      <c r="C55" s="3"/>
      <c r="D55" s="4"/>
      <c r="E55" s="4"/>
      <c r="F55" s="4"/>
      <c r="G55" s="11"/>
      <c r="I55" s="4"/>
      <c r="J55" s="3"/>
      <c r="K55" s="4"/>
      <c r="L55" s="4"/>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row>
    <row r="56" spans="1:135" s="2" customFormat="1" x14ac:dyDescent="0.2">
      <c r="A56"/>
      <c r="B56" s="4"/>
      <c r="C56" s="3"/>
      <c r="D56" s="4"/>
      <c r="E56" s="4"/>
      <c r="F56" s="4"/>
      <c r="G56" s="11"/>
      <c r="I56" s="4"/>
      <c r="J56" s="3"/>
      <c r="K56" s="4"/>
      <c r="L56" s="4"/>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row>
    <row r="57" spans="1:135" s="2" customFormat="1" x14ac:dyDescent="0.2">
      <c r="A57"/>
      <c r="B57" s="4"/>
      <c r="C57" s="3"/>
      <c r="D57" s="4"/>
      <c r="E57" s="4"/>
      <c r="F57" s="4"/>
      <c r="G57" s="11"/>
      <c r="I57" s="4"/>
      <c r="J57" s="3"/>
      <c r="K57" s="4"/>
      <c r="L57" s="4"/>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row>
    <row r="58" spans="1:135" s="2" customFormat="1" x14ac:dyDescent="0.2">
      <c r="A58"/>
      <c r="B58" s="4"/>
      <c r="C58" s="3"/>
      <c r="D58" s="4"/>
      <c r="E58" s="4"/>
      <c r="F58" s="4"/>
      <c r="G58" s="11"/>
      <c r="I58" s="4"/>
      <c r="J58" s="3"/>
      <c r="K58" s="4"/>
      <c r="L58" s="4"/>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row>
    <row r="59" spans="1:135" s="2" customFormat="1" x14ac:dyDescent="0.2">
      <c r="A59"/>
      <c r="B59" s="4"/>
      <c r="C59" s="3"/>
      <c r="D59" s="4"/>
      <c r="E59" s="4"/>
      <c r="F59" s="4"/>
      <c r="G59" s="11"/>
      <c r="I59" s="4"/>
      <c r="J59" s="3"/>
      <c r="K59" s="4"/>
      <c r="L59" s="4"/>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row>
    <row r="60" spans="1:135" s="2" customFormat="1" x14ac:dyDescent="0.2">
      <c r="A60"/>
      <c r="B60" s="4"/>
      <c r="C60" s="3"/>
      <c r="D60" s="4"/>
      <c r="E60" s="4"/>
      <c r="F60" s="4"/>
      <c r="G60" s="11"/>
      <c r="I60" s="4"/>
      <c r="J60" s="3"/>
      <c r="K60" s="4"/>
      <c r="L60" s="4"/>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row>
    <row r="61" spans="1:135" s="2" customFormat="1" x14ac:dyDescent="0.2">
      <c r="A61"/>
      <c r="B61" s="4"/>
      <c r="C61" s="3"/>
      <c r="D61" s="4"/>
      <c r="E61" s="4"/>
      <c r="F61" s="4"/>
      <c r="G61" s="11"/>
      <c r="I61" s="4"/>
      <c r="J61" s="3"/>
      <c r="K61" s="4"/>
      <c r="L61" s="4"/>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row>
    <row r="62" spans="1:135" s="2" customFormat="1" x14ac:dyDescent="0.2">
      <c r="A62"/>
      <c r="B62" s="4"/>
      <c r="C62" s="3"/>
      <c r="D62" s="4"/>
      <c r="E62" s="4"/>
      <c r="F62" s="4"/>
      <c r="G62" s="11"/>
      <c r="I62" s="4"/>
      <c r="J62" s="3"/>
      <c r="K62" s="4"/>
      <c r="L62" s="4"/>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row>
    <row r="63" spans="1:135" s="2" customFormat="1" x14ac:dyDescent="0.2">
      <c r="A63"/>
      <c r="B63" s="4"/>
      <c r="C63" s="3"/>
      <c r="D63" s="4"/>
      <c r="E63" s="4"/>
      <c r="F63" s="4"/>
      <c r="G63" s="11"/>
      <c r="I63" s="4"/>
      <c r="J63" s="3"/>
      <c r="K63" s="4"/>
      <c r="L63" s="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row>
    <row r="64" spans="1:135" s="2" customFormat="1" x14ac:dyDescent="0.2">
      <c r="A64"/>
      <c r="B64" s="4"/>
      <c r="C64" s="3"/>
      <c r="D64" s="4"/>
      <c r="E64" s="4"/>
      <c r="F64" s="4"/>
      <c r="G64" s="11"/>
      <c r="I64" s="4"/>
      <c r="J64" s="3"/>
      <c r="K64" s="4"/>
      <c r="L64" s="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row>
    <row r="65" spans="1:135" s="2" customFormat="1" x14ac:dyDescent="0.2">
      <c r="A65"/>
      <c r="B65" s="4"/>
      <c r="C65" s="3"/>
      <c r="D65" s="4"/>
      <c r="E65" s="4"/>
      <c r="F65" s="4"/>
      <c r="G65" s="11"/>
      <c r="I65" s="4"/>
      <c r="J65" s="3"/>
      <c r="K65" s="4"/>
      <c r="L65" s="4"/>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row>
  </sheetData>
  <mergeCells count="1">
    <mergeCell ref="B2:M2"/>
  </mergeCells>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91"/>
  <sheetViews>
    <sheetView topLeftCell="E181" zoomScale="80" zoomScaleNormal="80" workbookViewId="0">
      <selection activeCell="J192" sqref="J192:L224"/>
    </sheetView>
  </sheetViews>
  <sheetFormatPr baseColWidth="10" defaultColWidth="9.140625" defaultRowHeight="12.75" x14ac:dyDescent="0.2"/>
  <cols>
    <col min="1" max="1" width="13.42578125" hidden="1" customWidth="1"/>
    <col min="2" max="2" width="9.42578125" style="4" customWidth="1"/>
    <col min="3" max="3" width="18" style="3" customWidth="1"/>
    <col min="4" max="4" width="8.28515625" style="4" customWidth="1"/>
    <col min="5" max="5" width="9.140625" style="4"/>
    <col min="6" max="6" width="10.5703125" style="4" customWidth="1"/>
    <col min="7" max="7" width="7.7109375" style="4" customWidth="1"/>
    <col min="8" max="8" width="58" style="2" customWidth="1"/>
    <col min="9" max="9" width="11.7109375" style="4" customWidth="1"/>
    <col min="10" max="10" width="16.42578125" style="3" customWidth="1"/>
    <col min="11" max="11" width="16" style="4" customWidth="1"/>
    <col min="12" max="12" width="11" style="4" customWidth="1"/>
    <col min="13" max="13" width="20.28515625" customWidth="1"/>
  </cols>
  <sheetData>
    <row r="1" spans="1:146" x14ac:dyDescent="0.2">
      <c r="N1" s="1"/>
      <c r="O1" s="1"/>
      <c r="P1" s="1"/>
      <c r="Q1" s="1"/>
    </row>
    <row r="2" spans="1:146" ht="24" customHeight="1" x14ac:dyDescent="0.2">
      <c r="B2" s="185" t="s">
        <v>1103</v>
      </c>
      <c r="C2" s="185"/>
      <c r="D2" s="185"/>
      <c r="E2" s="185"/>
      <c r="F2" s="185"/>
      <c r="G2" s="185"/>
      <c r="H2" s="185"/>
      <c r="I2" s="185"/>
      <c r="J2" s="185"/>
      <c r="K2" s="185"/>
      <c r="L2" s="185"/>
      <c r="M2" s="185"/>
      <c r="N2" s="1"/>
      <c r="O2" s="1"/>
      <c r="P2" s="1"/>
      <c r="Q2" s="1"/>
    </row>
    <row r="3" spans="1:146" x14ac:dyDescent="0.2">
      <c r="N3" s="1"/>
      <c r="O3" s="1"/>
      <c r="P3" s="1"/>
      <c r="Q3" s="1"/>
    </row>
    <row r="4" spans="1:146" s="7" customFormat="1" ht="60.75" customHeight="1" x14ac:dyDescent="0.2">
      <c r="A4" s="7" t="s">
        <v>641</v>
      </c>
      <c r="B4" s="10" t="s">
        <v>1100</v>
      </c>
      <c r="C4" s="10" t="s">
        <v>1092</v>
      </c>
      <c r="D4" s="9" t="s">
        <v>1091</v>
      </c>
      <c r="E4" s="10" t="s">
        <v>1097</v>
      </c>
      <c r="F4" s="9" t="s">
        <v>1098</v>
      </c>
      <c r="G4" s="9" t="s">
        <v>1093</v>
      </c>
      <c r="H4" s="10" t="s">
        <v>409</v>
      </c>
      <c r="I4" s="10" t="s">
        <v>1094</v>
      </c>
      <c r="J4" s="10" t="s">
        <v>1095</v>
      </c>
      <c r="K4" s="10" t="s">
        <v>1104</v>
      </c>
      <c r="L4" s="10" t="s">
        <v>1096</v>
      </c>
      <c r="M4" s="10" t="s">
        <v>1099</v>
      </c>
      <c r="N4" s="40"/>
      <c r="O4" s="40"/>
      <c r="P4" s="40"/>
      <c r="Q4" s="40"/>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row>
    <row r="5" spans="1:146" x14ac:dyDescent="0.2">
      <c r="N5" s="1"/>
      <c r="O5" s="1"/>
      <c r="P5" s="1"/>
      <c r="Q5" s="1"/>
    </row>
    <row r="6" spans="1:146" x14ac:dyDescent="0.2">
      <c r="A6" s="1"/>
      <c r="B6" s="52"/>
      <c r="C6" s="53"/>
      <c r="D6" s="52"/>
      <c r="E6" s="52"/>
      <c r="F6" s="52"/>
      <c r="G6" s="61"/>
      <c r="H6" s="42"/>
      <c r="I6" s="52"/>
      <c r="J6" s="53"/>
      <c r="K6" s="52"/>
      <c r="L6" s="52"/>
      <c r="M6" s="37"/>
      <c r="N6" s="37"/>
      <c r="O6" s="37"/>
      <c r="P6" s="21"/>
      <c r="Q6" s="21"/>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row>
    <row r="7" spans="1:146" ht="15.75" x14ac:dyDescent="0.2">
      <c r="A7" s="1">
        <v>0</v>
      </c>
      <c r="B7" s="52"/>
      <c r="C7" s="53"/>
      <c r="D7" s="52"/>
      <c r="E7" s="52"/>
      <c r="F7" s="52"/>
      <c r="G7" s="61"/>
      <c r="H7" s="51" t="s">
        <v>330</v>
      </c>
      <c r="I7" s="52"/>
      <c r="J7" s="53"/>
      <c r="K7" s="52"/>
      <c r="L7" s="52"/>
      <c r="M7" s="54"/>
      <c r="N7" s="37"/>
      <c r="O7" s="37"/>
      <c r="P7" s="21"/>
      <c r="Q7" s="21"/>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row>
    <row r="8" spans="1:146" ht="31.5" x14ac:dyDescent="0.2">
      <c r="A8" s="1">
        <v>1</v>
      </c>
      <c r="B8" s="52"/>
      <c r="C8" s="53"/>
      <c r="D8" s="52"/>
      <c r="E8" s="52"/>
      <c r="F8" s="52"/>
      <c r="G8" s="61"/>
      <c r="H8" s="51" t="s">
        <v>842</v>
      </c>
      <c r="I8" s="52"/>
      <c r="J8" s="53"/>
      <c r="K8" s="52"/>
      <c r="L8" s="52"/>
      <c r="M8" s="54"/>
      <c r="N8" s="37"/>
      <c r="O8" s="37"/>
      <c r="P8" s="21"/>
      <c r="Q8" s="21"/>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row>
    <row r="9" spans="1:146" x14ac:dyDescent="0.2">
      <c r="A9" s="1">
        <v>2</v>
      </c>
      <c r="B9" s="52"/>
      <c r="C9" s="53"/>
      <c r="D9" s="52"/>
      <c r="E9" s="52"/>
      <c r="F9" s="52"/>
      <c r="G9" s="61"/>
      <c r="H9" s="42"/>
      <c r="I9" s="52"/>
      <c r="J9" s="53"/>
      <c r="K9" s="52"/>
      <c r="L9" s="52"/>
      <c r="M9" s="54"/>
      <c r="N9" s="37"/>
      <c r="O9" s="37"/>
      <c r="P9" s="21"/>
      <c r="Q9" s="21"/>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row>
    <row r="10" spans="1:146" x14ac:dyDescent="0.2">
      <c r="A10" s="1">
        <v>3</v>
      </c>
      <c r="B10" s="52" t="s">
        <v>301</v>
      </c>
      <c r="C10" s="53"/>
      <c r="D10" s="52"/>
      <c r="E10" s="52"/>
      <c r="F10" s="52"/>
      <c r="G10" s="61"/>
      <c r="H10" s="56" t="s">
        <v>981</v>
      </c>
      <c r="I10" s="52"/>
      <c r="J10" s="53"/>
      <c r="K10" s="52"/>
      <c r="L10" s="52"/>
      <c r="M10" s="38">
        <f>+M11+M24+M34+M46+M73+M90+M103+M121+M138</f>
        <v>4363597775</v>
      </c>
      <c r="N10" s="37"/>
      <c r="O10" s="37"/>
      <c r="P10" s="21"/>
      <c r="Q10" s="21"/>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row>
    <row r="11" spans="1:146" x14ac:dyDescent="0.2">
      <c r="A11" s="1">
        <v>4</v>
      </c>
      <c r="B11" s="52" t="s">
        <v>857</v>
      </c>
      <c r="C11" s="53"/>
      <c r="D11" s="52"/>
      <c r="E11" s="52"/>
      <c r="F11" s="52"/>
      <c r="G11" s="61"/>
      <c r="H11" s="56" t="s">
        <v>387</v>
      </c>
      <c r="I11" s="52"/>
      <c r="J11" s="53"/>
      <c r="K11" s="52"/>
      <c r="L11" s="52"/>
      <c r="M11" s="38">
        <f>+M13</f>
        <v>190731400</v>
      </c>
      <c r="N11" s="37"/>
      <c r="O11" s="37"/>
      <c r="P11" s="21"/>
      <c r="Q11" s="21"/>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row>
    <row r="12" spans="1:146" ht="38.25" x14ac:dyDescent="0.2">
      <c r="A12" s="1">
        <v>5</v>
      </c>
      <c r="B12" s="52"/>
      <c r="C12" s="53"/>
      <c r="D12" s="52"/>
      <c r="E12" s="55">
        <v>9</v>
      </c>
      <c r="F12" s="52" t="s">
        <v>268</v>
      </c>
      <c r="G12" s="195"/>
      <c r="H12" s="80" t="s">
        <v>414</v>
      </c>
      <c r="I12" s="196">
        <v>15</v>
      </c>
      <c r="J12" s="190" t="s">
        <v>440</v>
      </c>
      <c r="K12" s="196"/>
      <c r="L12" s="189"/>
      <c r="M12" s="194"/>
      <c r="N12" s="37"/>
      <c r="O12" s="37"/>
      <c r="P12" s="21"/>
      <c r="Q12" s="21"/>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row>
    <row r="13" spans="1:146" x14ac:dyDescent="0.2">
      <c r="A13" s="1">
        <v>6</v>
      </c>
      <c r="B13" s="52" t="s">
        <v>497</v>
      </c>
      <c r="C13" s="53"/>
      <c r="D13" s="52"/>
      <c r="E13" s="52"/>
      <c r="F13" s="52"/>
      <c r="G13" s="195"/>
      <c r="H13" s="173" t="s">
        <v>316</v>
      </c>
      <c r="I13" s="189"/>
      <c r="J13" s="190"/>
      <c r="K13" s="189"/>
      <c r="L13" s="189"/>
      <c r="M13" s="91">
        <f>+M17+M19+M21</f>
        <v>190731400</v>
      </c>
      <c r="N13" s="37"/>
      <c r="O13" s="37"/>
      <c r="P13" s="21"/>
      <c r="Q13" s="21"/>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row>
    <row r="14" spans="1:146" ht="38.25" x14ac:dyDescent="0.2">
      <c r="A14" s="1">
        <v>7</v>
      </c>
      <c r="B14" s="52"/>
      <c r="C14" s="53"/>
      <c r="D14" s="52" t="s">
        <v>521</v>
      </c>
      <c r="E14" s="55">
        <v>24</v>
      </c>
      <c r="F14" s="52" t="s">
        <v>1080</v>
      </c>
      <c r="G14" s="195"/>
      <c r="H14" s="80" t="s">
        <v>793</v>
      </c>
      <c r="I14" s="196">
        <v>12</v>
      </c>
      <c r="J14" s="190" t="s">
        <v>286</v>
      </c>
      <c r="K14" s="196">
        <v>20</v>
      </c>
      <c r="L14" s="189" t="s">
        <v>1315</v>
      </c>
      <c r="M14" s="194"/>
      <c r="N14" s="37"/>
      <c r="O14" s="37"/>
      <c r="P14" s="21"/>
      <c r="Q14" s="21"/>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row>
    <row r="15" spans="1:146" ht="38.25" x14ac:dyDescent="0.2">
      <c r="A15" s="1"/>
      <c r="B15" s="52"/>
      <c r="C15" s="53"/>
      <c r="D15" s="52" t="s">
        <v>303</v>
      </c>
      <c r="E15" s="55">
        <v>25</v>
      </c>
      <c r="F15" s="52" t="s">
        <v>1080</v>
      </c>
      <c r="G15" s="195"/>
      <c r="H15" s="80" t="s">
        <v>674</v>
      </c>
      <c r="I15" s="196">
        <v>80</v>
      </c>
      <c r="J15" s="190" t="s">
        <v>1007</v>
      </c>
      <c r="K15" s="196">
        <v>65</v>
      </c>
      <c r="L15" s="189" t="s">
        <v>1176</v>
      </c>
      <c r="M15" s="194"/>
      <c r="N15" s="37"/>
      <c r="O15" s="37"/>
      <c r="P15" s="21"/>
      <c r="Q15" s="21"/>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row>
    <row r="16" spans="1:146" ht="38.25" x14ac:dyDescent="0.2">
      <c r="A16" s="1">
        <v>7</v>
      </c>
      <c r="B16" s="52"/>
      <c r="C16" s="53"/>
      <c r="D16" s="52" t="s">
        <v>521</v>
      </c>
      <c r="E16" s="55">
        <v>26</v>
      </c>
      <c r="F16" s="52" t="s">
        <v>1080</v>
      </c>
      <c r="G16" s="195"/>
      <c r="H16" s="80" t="s">
        <v>731</v>
      </c>
      <c r="I16" s="196">
        <v>12</v>
      </c>
      <c r="J16" s="190" t="s">
        <v>487</v>
      </c>
      <c r="K16" s="196">
        <v>2</v>
      </c>
      <c r="L16" s="189" t="s">
        <v>1137</v>
      </c>
      <c r="M16" s="194"/>
      <c r="N16" s="37"/>
      <c r="O16" s="37"/>
      <c r="P16" s="21"/>
      <c r="Q16" s="21"/>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row>
    <row r="17" spans="1:146" ht="38.25" x14ac:dyDescent="0.2">
      <c r="A17" s="1">
        <v>8</v>
      </c>
      <c r="B17" s="52"/>
      <c r="C17" s="53" t="s">
        <v>10</v>
      </c>
      <c r="D17" s="52"/>
      <c r="E17" s="52"/>
      <c r="F17" s="52"/>
      <c r="G17" s="195">
        <v>296029</v>
      </c>
      <c r="H17" s="80" t="s">
        <v>657</v>
      </c>
      <c r="I17" s="189"/>
      <c r="J17" s="190"/>
      <c r="K17" s="189"/>
      <c r="L17" s="189"/>
      <c r="M17" s="183">
        <f>+M18</f>
        <v>130195400</v>
      </c>
      <c r="N17" s="37"/>
      <c r="O17" s="37"/>
      <c r="P17" s="21"/>
      <c r="Q17" s="21"/>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row>
    <row r="18" spans="1:146" x14ac:dyDescent="0.2">
      <c r="A18" s="1">
        <v>9</v>
      </c>
      <c r="B18" s="52"/>
      <c r="C18" s="53"/>
      <c r="D18" s="52"/>
      <c r="E18" s="52"/>
      <c r="F18" s="52"/>
      <c r="G18" s="195"/>
      <c r="H18" s="80" t="s">
        <v>776</v>
      </c>
      <c r="I18" s="189"/>
      <c r="J18" s="190"/>
      <c r="K18" s="189"/>
      <c r="L18" s="189"/>
      <c r="M18" s="183">
        <f>54525400+75670000</f>
        <v>130195400</v>
      </c>
      <c r="N18" s="37"/>
      <c r="O18" s="37"/>
      <c r="P18" s="21"/>
      <c r="Q18" s="21"/>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row>
    <row r="19" spans="1:146" ht="38.25" x14ac:dyDescent="0.2">
      <c r="A19" s="1">
        <v>8</v>
      </c>
      <c r="B19" s="52"/>
      <c r="C19" s="53" t="s">
        <v>10</v>
      </c>
      <c r="D19" s="52"/>
      <c r="E19" s="52"/>
      <c r="F19" s="52"/>
      <c r="G19" s="195">
        <v>296030</v>
      </c>
      <c r="H19" s="80" t="s">
        <v>742</v>
      </c>
      <c r="I19" s="189"/>
      <c r="J19" s="190"/>
      <c r="K19" s="189"/>
      <c r="L19" s="189"/>
      <c r="M19" s="183">
        <f>+M20</f>
        <v>0</v>
      </c>
      <c r="N19" s="37"/>
      <c r="O19" s="37"/>
      <c r="P19" s="21"/>
      <c r="Q19" s="21"/>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row>
    <row r="20" spans="1:146" x14ac:dyDescent="0.2">
      <c r="A20" s="1">
        <v>9</v>
      </c>
      <c r="B20" s="52"/>
      <c r="C20" s="53"/>
      <c r="D20" s="52"/>
      <c r="E20" s="52"/>
      <c r="F20" s="52"/>
      <c r="G20" s="195"/>
      <c r="H20" s="80" t="s">
        <v>776</v>
      </c>
      <c r="I20" s="189"/>
      <c r="J20" s="190"/>
      <c r="K20" s="189"/>
      <c r="L20" s="189"/>
      <c r="M20" s="183"/>
      <c r="N20" s="37"/>
      <c r="O20" s="37"/>
      <c r="P20" s="21"/>
      <c r="Q20" s="21"/>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row>
    <row r="21" spans="1:146" ht="25.5" x14ac:dyDescent="0.2">
      <c r="A21" s="1">
        <v>8</v>
      </c>
      <c r="B21" s="52"/>
      <c r="C21" s="53" t="s">
        <v>10</v>
      </c>
      <c r="D21" s="52"/>
      <c r="E21" s="52"/>
      <c r="F21" s="52"/>
      <c r="G21" s="195">
        <v>296063</v>
      </c>
      <c r="H21" s="80" t="s">
        <v>34</v>
      </c>
      <c r="I21" s="189"/>
      <c r="J21" s="190"/>
      <c r="K21" s="189"/>
      <c r="L21" s="189"/>
      <c r="M21" s="183">
        <f>+M22</f>
        <v>60536000</v>
      </c>
      <c r="N21" s="37"/>
      <c r="O21" s="37"/>
      <c r="P21" s="21"/>
      <c r="Q21" s="21"/>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row>
    <row r="22" spans="1:146" x14ac:dyDescent="0.2">
      <c r="A22" s="1">
        <v>9</v>
      </c>
      <c r="B22" s="52"/>
      <c r="C22" s="53"/>
      <c r="D22" s="52"/>
      <c r="E22" s="52"/>
      <c r="F22" s="52"/>
      <c r="G22" s="195"/>
      <c r="H22" s="80" t="s">
        <v>776</v>
      </c>
      <c r="I22" s="189"/>
      <c r="J22" s="190"/>
      <c r="K22" s="189"/>
      <c r="L22" s="189"/>
      <c r="M22" s="183">
        <v>60536000</v>
      </c>
      <c r="N22" s="37"/>
      <c r="O22" s="37"/>
      <c r="P22" s="1"/>
      <c r="Q22" s="1"/>
    </row>
    <row r="23" spans="1:146" x14ac:dyDescent="0.2">
      <c r="A23" s="1"/>
      <c r="B23" s="52"/>
      <c r="C23" s="53"/>
      <c r="D23" s="52"/>
      <c r="E23" s="52"/>
      <c r="F23" s="52"/>
      <c r="G23" s="195"/>
      <c r="H23" s="80"/>
      <c r="I23" s="189"/>
      <c r="J23" s="190"/>
      <c r="K23" s="189"/>
      <c r="L23" s="189"/>
      <c r="M23" s="183"/>
      <c r="N23" s="37"/>
      <c r="O23" s="37"/>
      <c r="P23" s="1"/>
      <c r="Q23" s="1"/>
    </row>
    <row r="24" spans="1:146" x14ac:dyDescent="0.2">
      <c r="A24" s="1">
        <v>4</v>
      </c>
      <c r="B24" s="52" t="s">
        <v>497</v>
      </c>
      <c r="C24" s="53"/>
      <c r="D24" s="52"/>
      <c r="E24" s="52"/>
      <c r="F24" s="52"/>
      <c r="G24" s="195"/>
      <c r="H24" s="173" t="s">
        <v>673</v>
      </c>
      <c r="I24" s="189"/>
      <c r="J24" s="190"/>
      <c r="K24" s="189"/>
      <c r="L24" s="189"/>
      <c r="M24" s="91">
        <f>+M26</f>
        <v>351865500</v>
      </c>
      <c r="N24" s="37"/>
      <c r="O24" s="37"/>
      <c r="P24" s="1"/>
      <c r="Q24" s="1"/>
    </row>
    <row r="25" spans="1:146" ht="38.25" x14ac:dyDescent="0.2">
      <c r="A25" s="1">
        <v>5</v>
      </c>
      <c r="B25" s="52"/>
      <c r="C25" s="53"/>
      <c r="D25" s="52"/>
      <c r="E25" s="55">
        <v>39</v>
      </c>
      <c r="F25" s="52" t="s">
        <v>268</v>
      </c>
      <c r="G25" s="195"/>
      <c r="H25" s="80" t="s">
        <v>403</v>
      </c>
      <c r="I25" s="196">
        <v>35</v>
      </c>
      <c r="J25" s="190" t="s">
        <v>440</v>
      </c>
      <c r="K25" s="196"/>
      <c r="L25" s="189"/>
      <c r="M25" s="194"/>
      <c r="N25" s="37"/>
      <c r="O25" s="37"/>
      <c r="P25" s="1"/>
      <c r="Q25" s="1"/>
    </row>
    <row r="26" spans="1:146" x14ac:dyDescent="0.2">
      <c r="A26" s="1">
        <v>6</v>
      </c>
      <c r="B26" s="52" t="s">
        <v>497</v>
      </c>
      <c r="C26" s="53"/>
      <c r="D26" s="52"/>
      <c r="E26" s="52"/>
      <c r="F26" s="52"/>
      <c r="G26" s="195"/>
      <c r="H26" s="173" t="s">
        <v>316</v>
      </c>
      <c r="I26" s="189"/>
      <c r="J26" s="190"/>
      <c r="K26" s="189"/>
      <c r="L26" s="189"/>
      <c r="M26" s="91">
        <f>+M29+M31</f>
        <v>351865500</v>
      </c>
      <c r="N26" s="37"/>
      <c r="O26" s="37"/>
      <c r="P26" s="1"/>
      <c r="Q26" s="1"/>
    </row>
    <row r="27" spans="1:146" ht="51" x14ac:dyDescent="0.2">
      <c r="A27" s="1">
        <v>7</v>
      </c>
      <c r="B27" s="52"/>
      <c r="C27" s="53"/>
      <c r="D27" s="52" t="s">
        <v>809</v>
      </c>
      <c r="E27" s="55">
        <v>58</v>
      </c>
      <c r="F27" s="52" t="s">
        <v>1080</v>
      </c>
      <c r="G27" s="195"/>
      <c r="H27" s="80" t="s">
        <v>813</v>
      </c>
      <c r="I27" s="196">
        <v>35</v>
      </c>
      <c r="J27" s="190" t="s">
        <v>286</v>
      </c>
      <c r="K27" s="196">
        <v>88</v>
      </c>
      <c r="L27" s="189" t="s">
        <v>1217</v>
      </c>
      <c r="M27" s="194"/>
      <c r="N27" s="37"/>
      <c r="O27" s="37"/>
      <c r="P27" s="1"/>
      <c r="Q27" s="1"/>
    </row>
    <row r="28" spans="1:146" ht="38.25" x14ac:dyDescent="0.2">
      <c r="A28" s="1">
        <v>7</v>
      </c>
      <c r="B28" s="52"/>
      <c r="C28" s="53"/>
      <c r="D28" s="52" t="s">
        <v>827</v>
      </c>
      <c r="E28" s="55">
        <v>59</v>
      </c>
      <c r="F28" s="52" t="s">
        <v>1080</v>
      </c>
      <c r="G28" s="195"/>
      <c r="H28" s="80" t="s">
        <v>400</v>
      </c>
      <c r="I28" s="196">
        <v>92</v>
      </c>
      <c r="J28" s="190" t="s">
        <v>1007</v>
      </c>
      <c r="K28" s="196">
        <v>121</v>
      </c>
      <c r="L28" s="189" t="s">
        <v>1449</v>
      </c>
      <c r="M28" s="194"/>
      <c r="N28" s="37"/>
      <c r="O28" s="37"/>
      <c r="P28" s="1"/>
      <c r="Q28" s="1"/>
    </row>
    <row r="29" spans="1:146" ht="38.25" x14ac:dyDescent="0.2">
      <c r="A29" s="1">
        <v>8</v>
      </c>
      <c r="B29" s="52"/>
      <c r="C29" s="53" t="s">
        <v>10</v>
      </c>
      <c r="D29" s="52"/>
      <c r="E29" s="52"/>
      <c r="F29" s="52"/>
      <c r="G29" s="195">
        <v>296091</v>
      </c>
      <c r="H29" s="80" t="s">
        <v>784</v>
      </c>
      <c r="I29" s="189"/>
      <c r="J29" s="190"/>
      <c r="K29" s="189"/>
      <c r="L29" s="189"/>
      <c r="M29" s="183">
        <f>+M30</f>
        <v>264845000</v>
      </c>
      <c r="N29" s="37"/>
      <c r="O29" s="37"/>
      <c r="P29" s="1"/>
      <c r="Q29" s="1"/>
    </row>
    <row r="30" spans="1:146" x14ac:dyDescent="0.2">
      <c r="A30" s="1">
        <v>9</v>
      </c>
      <c r="B30" s="52"/>
      <c r="C30" s="53"/>
      <c r="D30" s="52"/>
      <c r="E30" s="52"/>
      <c r="F30" s="52"/>
      <c r="G30" s="195"/>
      <c r="H30" s="80" t="s">
        <v>776</v>
      </c>
      <c r="I30" s="189"/>
      <c r="J30" s="190"/>
      <c r="K30" s="189"/>
      <c r="L30" s="189"/>
      <c r="M30" s="183">
        <v>264845000</v>
      </c>
      <c r="N30" s="37"/>
      <c r="O30" s="37"/>
      <c r="P30" s="1"/>
      <c r="Q30" s="1"/>
    </row>
    <row r="31" spans="1:146" ht="25.5" x14ac:dyDescent="0.2">
      <c r="A31" s="1">
        <v>8</v>
      </c>
      <c r="B31" s="52"/>
      <c r="C31" s="53" t="s">
        <v>10</v>
      </c>
      <c r="D31" s="52"/>
      <c r="E31" s="52"/>
      <c r="F31" s="52"/>
      <c r="G31" s="195">
        <v>296063</v>
      </c>
      <c r="H31" s="80" t="s">
        <v>34</v>
      </c>
      <c r="I31" s="189"/>
      <c r="J31" s="190"/>
      <c r="K31" s="189"/>
      <c r="L31" s="189"/>
      <c r="M31" s="183">
        <f>+M32</f>
        <v>87020500</v>
      </c>
      <c r="N31" s="37"/>
      <c r="O31" s="37"/>
      <c r="P31" s="1"/>
      <c r="Q31" s="1"/>
    </row>
    <row r="32" spans="1:146" x14ac:dyDescent="0.2">
      <c r="A32" s="1">
        <v>9</v>
      </c>
      <c r="B32" s="52"/>
      <c r="C32" s="53"/>
      <c r="D32" s="52"/>
      <c r="E32" s="52"/>
      <c r="F32" s="52"/>
      <c r="G32" s="195"/>
      <c r="H32" s="80" t="s">
        <v>776</v>
      </c>
      <c r="I32" s="189"/>
      <c r="J32" s="190"/>
      <c r="K32" s="189"/>
      <c r="L32" s="189"/>
      <c r="M32" s="183">
        <v>87020500</v>
      </c>
      <c r="N32" s="37"/>
      <c r="O32" s="37"/>
      <c r="P32" s="1"/>
      <c r="Q32" s="1"/>
    </row>
    <row r="33" spans="1:17" x14ac:dyDescent="0.2">
      <c r="A33" s="1"/>
      <c r="B33" s="52"/>
      <c r="C33" s="53"/>
      <c r="D33" s="52"/>
      <c r="E33" s="52"/>
      <c r="F33" s="52"/>
      <c r="G33" s="195"/>
      <c r="H33" s="80"/>
      <c r="I33" s="189"/>
      <c r="J33" s="190"/>
      <c r="K33" s="189"/>
      <c r="L33" s="189"/>
      <c r="M33" s="183"/>
      <c r="N33" s="37"/>
      <c r="O33" s="37"/>
      <c r="P33" s="1"/>
      <c r="Q33" s="1"/>
    </row>
    <row r="34" spans="1:17" x14ac:dyDescent="0.2">
      <c r="A34" s="1">
        <v>4</v>
      </c>
      <c r="B34" s="52" t="s">
        <v>955</v>
      </c>
      <c r="C34" s="53"/>
      <c r="D34" s="52"/>
      <c r="E34" s="52"/>
      <c r="F34" s="52"/>
      <c r="G34" s="195"/>
      <c r="H34" s="173" t="s">
        <v>405</v>
      </c>
      <c r="I34" s="189"/>
      <c r="J34" s="190"/>
      <c r="K34" s="189"/>
      <c r="L34" s="189"/>
      <c r="M34" s="91">
        <f>+M38</f>
        <v>390457200</v>
      </c>
      <c r="N34" s="37"/>
      <c r="O34" s="37"/>
      <c r="P34" s="1"/>
      <c r="Q34" s="1"/>
    </row>
    <row r="35" spans="1:17" ht="25.5" x14ac:dyDescent="0.2">
      <c r="A35" s="1"/>
      <c r="B35" s="52"/>
      <c r="C35" s="53"/>
      <c r="D35" s="52"/>
      <c r="E35" s="55">
        <v>1</v>
      </c>
      <c r="F35" s="52" t="s">
        <v>268</v>
      </c>
      <c r="G35" s="195"/>
      <c r="H35" s="80" t="s">
        <v>718</v>
      </c>
      <c r="I35" s="196">
        <v>4</v>
      </c>
      <c r="J35" s="190" t="s">
        <v>816</v>
      </c>
      <c r="K35" s="196"/>
      <c r="L35" s="189"/>
      <c r="M35" s="91"/>
      <c r="N35" s="37"/>
      <c r="O35" s="37"/>
      <c r="P35" s="1"/>
      <c r="Q35" s="1"/>
    </row>
    <row r="36" spans="1:17" ht="38.25" x14ac:dyDescent="0.2">
      <c r="A36" s="1">
        <v>5</v>
      </c>
      <c r="B36" s="52"/>
      <c r="C36" s="53"/>
      <c r="D36" s="52"/>
      <c r="E36" s="55">
        <v>74</v>
      </c>
      <c r="F36" s="52" t="s">
        <v>268</v>
      </c>
      <c r="G36" s="195"/>
      <c r="H36" s="80" t="s">
        <v>828</v>
      </c>
      <c r="I36" s="196">
        <v>60</v>
      </c>
      <c r="J36" s="190" t="s">
        <v>440</v>
      </c>
      <c r="K36" s="196"/>
      <c r="L36" s="189"/>
      <c r="M36" s="194"/>
      <c r="N36" s="37"/>
      <c r="O36" s="37"/>
      <c r="P36" s="1"/>
      <c r="Q36" s="1"/>
    </row>
    <row r="37" spans="1:17" x14ac:dyDescent="0.2">
      <c r="A37" s="1">
        <v>5</v>
      </c>
      <c r="B37" s="52"/>
      <c r="C37" s="53"/>
      <c r="D37" s="52"/>
      <c r="G37" s="191"/>
      <c r="H37" s="219"/>
      <c r="I37" s="191"/>
      <c r="J37" s="220"/>
      <c r="K37" s="191"/>
      <c r="L37" s="191"/>
      <c r="M37" s="194"/>
      <c r="N37" s="37"/>
      <c r="O37" s="37"/>
      <c r="P37" s="1"/>
      <c r="Q37" s="1"/>
    </row>
    <row r="38" spans="1:17" x14ac:dyDescent="0.2">
      <c r="A38" s="1">
        <v>6</v>
      </c>
      <c r="B38" s="52" t="s">
        <v>497</v>
      </c>
      <c r="C38" s="53"/>
      <c r="D38" s="52"/>
      <c r="E38" s="52"/>
      <c r="F38" s="52"/>
      <c r="G38" s="195"/>
      <c r="H38" s="173" t="s">
        <v>316</v>
      </c>
      <c r="I38" s="189"/>
      <c r="J38" s="190"/>
      <c r="K38" s="189"/>
      <c r="L38" s="189"/>
      <c r="M38" s="91">
        <f>+M41+M43</f>
        <v>390457200</v>
      </c>
      <c r="N38" s="37"/>
      <c r="O38" s="37"/>
      <c r="P38" s="1"/>
      <c r="Q38" s="1"/>
    </row>
    <row r="39" spans="1:17" ht="51" x14ac:dyDescent="0.2">
      <c r="A39" s="1">
        <v>7</v>
      </c>
      <c r="B39" s="52"/>
      <c r="C39" s="53"/>
      <c r="D39" s="52" t="s">
        <v>521</v>
      </c>
      <c r="E39" s="55">
        <v>102</v>
      </c>
      <c r="F39" s="52" t="s">
        <v>1080</v>
      </c>
      <c r="G39" s="195"/>
      <c r="H39" s="80" t="s">
        <v>172</v>
      </c>
      <c r="I39" s="196">
        <v>40</v>
      </c>
      <c r="J39" s="190" t="s">
        <v>286</v>
      </c>
      <c r="K39" s="196">
        <v>97</v>
      </c>
      <c r="L39" s="189" t="s">
        <v>1364</v>
      </c>
      <c r="M39" s="194"/>
      <c r="N39" s="37"/>
      <c r="O39" s="37"/>
      <c r="P39" s="1"/>
      <c r="Q39" s="1"/>
    </row>
    <row r="40" spans="1:17" ht="38.25" x14ac:dyDescent="0.2">
      <c r="A40" s="1">
        <v>7</v>
      </c>
      <c r="B40" s="52"/>
      <c r="C40" s="53"/>
      <c r="D40" s="52" t="s">
        <v>809</v>
      </c>
      <c r="E40" s="55">
        <v>103</v>
      </c>
      <c r="F40" s="52" t="s">
        <v>1080</v>
      </c>
      <c r="G40" s="195"/>
      <c r="H40" s="80" t="s">
        <v>78</v>
      </c>
      <c r="I40" s="196">
        <v>116</v>
      </c>
      <c r="J40" s="190" t="s">
        <v>1007</v>
      </c>
      <c r="K40" s="196">
        <v>131</v>
      </c>
      <c r="L40" s="189" t="s">
        <v>1441</v>
      </c>
      <c r="M40" s="194"/>
      <c r="N40" s="37"/>
      <c r="O40" s="37"/>
      <c r="P40" s="1"/>
      <c r="Q40" s="1"/>
    </row>
    <row r="41" spans="1:17" ht="38.25" x14ac:dyDescent="0.2">
      <c r="A41" s="1">
        <v>8</v>
      </c>
      <c r="B41" s="52"/>
      <c r="C41" s="53" t="s">
        <v>10</v>
      </c>
      <c r="D41" s="52"/>
      <c r="E41" s="52"/>
      <c r="F41" s="52"/>
      <c r="G41" s="195">
        <v>296091</v>
      </c>
      <c r="H41" s="80" t="s">
        <v>784</v>
      </c>
      <c r="I41" s="189"/>
      <c r="J41" s="190"/>
      <c r="K41" s="189"/>
      <c r="L41" s="189"/>
      <c r="M41" s="183">
        <f>+M42</f>
        <v>302680000</v>
      </c>
      <c r="N41" s="37"/>
      <c r="O41" s="37"/>
      <c r="P41" s="1"/>
      <c r="Q41" s="1"/>
    </row>
    <row r="42" spans="1:17" x14ac:dyDescent="0.2">
      <c r="A42" s="1">
        <v>9</v>
      </c>
      <c r="B42" s="52"/>
      <c r="C42" s="53"/>
      <c r="D42" s="52"/>
      <c r="E42" s="52"/>
      <c r="F42" s="52"/>
      <c r="G42" s="195"/>
      <c r="H42" s="80" t="s">
        <v>776</v>
      </c>
      <c r="I42" s="189"/>
      <c r="J42" s="190"/>
      <c r="K42" s="189"/>
      <c r="L42" s="189"/>
      <c r="M42" s="183">
        <v>302680000</v>
      </c>
      <c r="N42" s="37"/>
      <c r="O42" s="37"/>
      <c r="P42" s="1"/>
      <c r="Q42" s="1"/>
    </row>
    <row r="43" spans="1:17" ht="25.5" x14ac:dyDescent="0.2">
      <c r="A43" s="1">
        <v>8</v>
      </c>
      <c r="B43" s="52"/>
      <c r="C43" s="53" t="s">
        <v>10</v>
      </c>
      <c r="D43" s="52"/>
      <c r="E43" s="52"/>
      <c r="F43" s="52"/>
      <c r="G43" s="195">
        <v>296063</v>
      </c>
      <c r="H43" s="80" t="s">
        <v>34</v>
      </c>
      <c r="I43" s="189"/>
      <c r="J43" s="190"/>
      <c r="K43" s="189"/>
      <c r="L43" s="189"/>
      <c r="M43" s="183">
        <f>+M44</f>
        <v>87777200</v>
      </c>
      <c r="N43" s="37"/>
      <c r="O43" s="37"/>
      <c r="P43" s="1"/>
      <c r="Q43" s="1"/>
    </row>
    <row r="44" spans="1:17" x14ac:dyDescent="0.2">
      <c r="A44" s="1">
        <v>9</v>
      </c>
      <c r="B44" s="52"/>
      <c r="C44" s="53"/>
      <c r="D44" s="52"/>
      <c r="E44" s="52"/>
      <c r="F44" s="52"/>
      <c r="G44" s="195"/>
      <c r="H44" s="80" t="s">
        <v>776</v>
      </c>
      <c r="I44" s="189"/>
      <c r="J44" s="190"/>
      <c r="K44" s="189"/>
      <c r="L44" s="189"/>
      <c r="M44" s="183">
        <v>87777200</v>
      </c>
      <c r="N44" s="37"/>
      <c r="O44" s="37"/>
      <c r="P44" s="1"/>
      <c r="Q44" s="1"/>
    </row>
    <row r="45" spans="1:17" x14ac:dyDescent="0.2">
      <c r="A45" s="1"/>
      <c r="B45" s="52"/>
      <c r="C45" s="53"/>
      <c r="D45" s="52"/>
      <c r="E45" s="52"/>
      <c r="F45" s="52"/>
      <c r="G45" s="195"/>
      <c r="H45" s="80"/>
      <c r="I45" s="189"/>
      <c r="J45" s="190"/>
      <c r="K45" s="189"/>
      <c r="L45" s="189"/>
      <c r="M45" s="183"/>
      <c r="N45" s="37"/>
      <c r="O45" s="37"/>
      <c r="P45" s="1"/>
      <c r="Q45" s="1"/>
    </row>
    <row r="46" spans="1:17" x14ac:dyDescent="0.2">
      <c r="A46" s="1">
        <v>4</v>
      </c>
      <c r="B46" s="52" t="s">
        <v>285</v>
      </c>
      <c r="C46" s="53"/>
      <c r="D46" s="52"/>
      <c r="E46" s="52"/>
      <c r="F46" s="52"/>
      <c r="G46" s="195"/>
      <c r="H46" s="173" t="s">
        <v>548</v>
      </c>
      <c r="I46" s="189"/>
      <c r="J46" s="190"/>
      <c r="K46" s="189"/>
      <c r="L46" s="189"/>
      <c r="M46" s="91">
        <f>+M48+M64</f>
        <v>898318500</v>
      </c>
      <c r="N46" s="37"/>
      <c r="O46" s="37"/>
      <c r="P46" s="1"/>
      <c r="Q46" s="1"/>
    </row>
    <row r="47" spans="1:17" ht="38.25" x14ac:dyDescent="0.2">
      <c r="A47" s="1">
        <v>5</v>
      </c>
      <c r="B47" s="52"/>
      <c r="C47" s="53"/>
      <c r="D47" s="52"/>
      <c r="E47" s="55">
        <v>118</v>
      </c>
      <c r="F47" s="52" t="s">
        <v>268</v>
      </c>
      <c r="G47" s="195"/>
      <c r="H47" s="80" t="s">
        <v>654</v>
      </c>
      <c r="I47" s="196">
        <v>35</v>
      </c>
      <c r="J47" s="190" t="s">
        <v>440</v>
      </c>
      <c r="K47" s="196"/>
      <c r="L47" s="189"/>
      <c r="M47" s="194"/>
      <c r="N47" s="37"/>
      <c r="O47" s="37"/>
      <c r="P47" s="1"/>
      <c r="Q47" s="1"/>
    </row>
    <row r="48" spans="1:17" x14ac:dyDescent="0.2">
      <c r="A48" s="1">
        <v>6</v>
      </c>
      <c r="B48" s="52" t="s">
        <v>497</v>
      </c>
      <c r="C48" s="53"/>
      <c r="D48" s="52"/>
      <c r="E48" s="52"/>
      <c r="F48" s="52"/>
      <c r="G48" s="195"/>
      <c r="H48" s="173" t="s">
        <v>316</v>
      </c>
      <c r="I48" s="189"/>
      <c r="J48" s="190"/>
      <c r="K48" s="189"/>
      <c r="L48" s="189"/>
      <c r="M48" s="91">
        <f>+M54+M56+M58+M60+M62</f>
        <v>768050500</v>
      </c>
      <c r="N48" s="37"/>
      <c r="O48" s="37"/>
      <c r="P48" s="1"/>
      <c r="Q48" s="1"/>
    </row>
    <row r="49" spans="1:17" ht="38.25" x14ac:dyDescent="0.2">
      <c r="A49" s="1">
        <v>7</v>
      </c>
      <c r="B49" s="52"/>
      <c r="C49" s="53"/>
      <c r="D49" s="52" t="s">
        <v>521</v>
      </c>
      <c r="E49" s="55">
        <v>135</v>
      </c>
      <c r="F49" s="52" t="s">
        <v>1080</v>
      </c>
      <c r="G49" s="195"/>
      <c r="H49" s="80" t="s">
        <v>878</v>
      </c>
      <c r="I49" s="196">
        <v>200</v>
      </c>
      <c r="J49" s="190" t="s">
        <v>651</v>
      </c>
      <c r="K49" s="196">
        <v>31</v>
      </c>
      <c r="L49" s="189" t="s">
        <v>1266</v>
      </c>
      <c r="M49" s="194"/>
      <c r="N49" s="37"/>
      <c r="O49" s="37"/>
      <c r="P49" s="1"/>
      <c r="Q49" s="1"/>
    </row>
    <row r="50" spans="1:17" ht="25.5" x14ac:dyDescent="0.2">
      <c r="A50" s="1">
        <v>7</v>
      </c>
      <c r="B50" s="52"/>
      <c r="C50" s="53"/>
      <c r="D50" s="52" t="s">
        <v>809</v>
      </c>
      <c r="E50" s="55">
        <v>136</v>
      </c>
      <c r="F50" s="52" t="s">
        <v>1080</v>
      </c>
      <c r="G50" s="195"/>
      <c r="H50" s="80" t="s">
        <v>894</v>
      </c>
      <c r="I50" s="196">
        <v>10</v>
      </c>
      <c r="J50" s="190" t="s">
        <v>799</v>
      </c>
      <c r="K50" s="196">
        <v>7</v>
      </c>
      <c r="L50" s="189" t="s">
        <v>114</v>
      </c>
      <c r="M50" s="194"/>
      <c r="N50" s="37"/>
      <c r="O50" s="37"/>
      <c r="P50" s="1"/>
      <c r="Q50" s="1"/>
    </row>
    <row r="51" spans="1:17" ht="38.25" x14ac:dyDescent="0.2">
      <c r="A51" s="1"/>
      <c r="B51" s="52"/>
      <c r="C51" s="53"/>
      <c r="D51" s="52" t="s">
        <v>521</v>
      </c>
      <c r="E51" s="55">
        <v>137</v>
      </c>
      <c r="F51" s="52" t="s">
        <v>1080</v>
      </c>
      <c r="G51" s="195"/>
      <c r="H51" s="80" t="s">
        <v>204</v>
      </c>
      <c r="I51" s="196">
        <v>100</v>
      </c>
      <c r="J51" s="190" t="s">
        <v>1007</v>
      </c>
      <c r="K51" s="196">
        <v>131</v>
      </c>
      <c r="L51" s="189" t="s">
        <v>1167</v>
      </c>
      <c r="M51" s="194"/>
      <c r="N51" s="37"/>
      <c r="O51" s="37"/>
      <c r="P51" s="1"/>
      <c r="Q51" s="1"/>
    </row>
    <row r="52" spans="1:17" ht="38.25" x14ac:dyDescent="0.2">
      <c r="A52" s="1">
        <v>7</v>
      </c>
      <c r="B52" s="52"/>
      <c r="C52" s="53"/>
      <c r="D52" s="52" t="s">
        <v>809</v>
      </c>
      <c r="E52" s="55">
        <v>138</v>
      </c>
      <c r="F52" s="52" t="s">
        <v>1080</v>
      </c>
      <c r="G52" s="195"/>
      <c r="H52" s="80" t="s">
        <v>119</v>
      </c>
      <c r="I52" s="196">
        <v>15</v>
      </c>
      <c r="J52" s="190" t="s">
        <v>286</v>
      </c>
      <c r="K52" s="196">
        <v>15</v>
      </c>
      <c r="L52" s="189" t="s">
        <v>1195</v>
      </c>
      <c r="M52" s="194"/>
      <c r="N52" s="37"/>
      <c r="O52" s="37"/>
      <c r="P52" s="1"/>
      <c r="Q52" s="1"/>
    </row>
    <row r="53" spans="1:17" x14ac:dyDescent="0.2">
      <c r="A53" s="1">
        <v>7</v>
      </c>
      <c r="B53" s="52"/>
      <c r="C53" s="53"/>
      <c r="G53" s="191"/>
      <c r="H53" s="219"/>
      <c r="I53" s="191"/>
      <c r="J53" s="220"/>
      <c r="K53" s="191"/>
      <c r="L53" s="191"/>
      <c r="M53" s="194"/>
      <c r="N53" s="37"/>
      <c r="O53" s="37"/>
      <c r="P53" s="1"/>
      <c r="Q53" s="1"/>
    </row>
    <row r="54" spans="1:17" ht="38.25" x14ac:dyDescent="0.2">
      <c r="A54" s="1">
        <v>8</v>
      </c>
      <c r="B54" s="52"/>
      <c r="C54" s="53" t="s">
        <v>163</v>
      </c>
      <c r="D54" s="52"/>
      <c r="E54" s="52"/>
      <c r="F54" s="52"/>
      <c r="G54" s="195">
        <v>296029</v>
      </c>
      <c r="H54" s="80" t="s">
        <v>657</v>
      </c>
      <c r="I54" s="189"/>
      <c r="J54" s="190"/>
      <c r="K54" s="189"/>
      <c r="L54" s="189"/>
      <c r="M54" s="183">
        <f>+M55</f>
        <v>45402000</v>
      </c>
      <c r="N54" s="37"/>
      <c r="O54" s="37"/>
      <c r="P54" s="1"/>
      <c r="Q54" s="1"/>
    </row>
    <row r="55" spans="1:17" x14ac:dyDescent="0.2">
      <c r="A55" s="1">
        <v>9</v>
      </c>
      <c r="B55" s="52"/>
      <c r="C55" s="53"/>
      <c r="D55" s="52"/>
      <c r="E55" s="52"/>
      <c r="F55" s="52"/>
      <c r="G55" s="195"/>
      <c r="H55" s="80" t="s">
        <v>776</v>
      </c>
      <c r="I55" s="189"/>
      <c r="J55" s="190"/>
      <c r="K55" s="189"/>
      <c r="L55" s="189"/>
      <c r="M55" s="183">
        <v>45402000</v>
      </c>
      <c r="N55" s="37"/>
      <c r="O55" s="37"/>
      <c r="P55" s="1"/>
      <c r="Q55" s="1"/>
    </row>
    <row r="56" spans="1:17" ht="25.5" x14ac:dyDescent="0.2">
      <c r="A56" s="1">
        <v>8</v>
      </c>
      <c r="B56" s="52"/>
      <c r="C56" s="53" t="s">
        <v>10</v>
      </c>
      <c r="D56" s="52"/>
      <c r="E56" s="52"/>
      <c r="F56" s="52"/>
      <c r="G56" s="195">
        <v>296089</v>
      </c>
      <c r="H56" s="80" t="s">
        <v>347</v>
      </c>
      <c r="I56" s="189"/>
      <c r="J56" s="190"/>
      <c r="K56" s="189"/>
      <c r="L56" s="189"/>
      <c r="M56" s="183">
        <f>+M57</f>
        <v>15134000</v>
      </c>
      <c r="N56" s="37"/>
      <c r="O56" s="37"/>
      <c r="P56" s="1"/>
      <c r="Q56" s="1"/>
    </row>
    <row r="57" spans="1:17" x14ac:dyDescent="0.2">
      <c r="A57" s="1">
        <v>9</v>
      </c>
      <c r="B57" s="52"/>
      <c r="C57" s="53"/>
      <c r="D57" s="52"/>
      <c r="E57" s="52"/>
      <c r="F57" s="52"/>
      <c r="G57" s="195"/>
      <c r="H57" s="80" t="s">
        <v>776</v>
      </c>
      <c r="I57" s="189"/>
      <c r="J57" s="190"/>
      <c r="K57" s="189"/>
      <c r="L57" s="189"/>
      <c r="M57" s="183">
        <v>15134000</v>
      </c>
      <c r="N57" s="37"/>
      <c r="O57" s="37"/>
      <c r="P57" s="1"/>
      <c r="Q57" s="1"/>
    </row>
    <row r="58" spans="1:17" ht="25.5" x14ac:dyDescent="0.2">
      <c r="A58" s="1">
        <v>8</v>
      </c>
      <c r="B58" s="52"/>
      <c r="C58" s="53" t="s">
        <v>10</v>
      </c>
      <c r="D58" s="52"/>
      <c r="E58" s="52"/>
      <c r="F58" s="52"/>
      <c r="G58" s="195">
        <v>296063</v>
      </c>
      <c r="H58" s="80" t="s">
        <v>34</v>
      </c>
      <c r="I58" s="189"/>
      <c r="J58" s="190"/>
      <c r="K58" s="189"/>
      <c r="L58" s="189"/>
      <c r="M58" s="183">
        <f>+M59</f>
        <v>94587500</v>
      </c>
      <c r="N58" s="37"/>
      <c r="O58" s="37"/>
      <c r="P58" s="1"/>
      <c r="Q58" s="1"/>
    </row>
    <row r="59" spans="1:17" x14ac:dyDescent="0.2">
      <c r="A59" s="1">
        <v>9</v>
      </c>
      <c r="B59" s="52"/>
      <c r="C59" s="53"/>
      <c r="D59" s="52"/>
      <c r="E59" s="52"/>
      <c r="F59" s="52"/>
      <c r="G59" s="195"/>
      <c r="H59" s="80" t="s">
        <v>776</v>
      </c>
      <c r="I59" s="189"/>
      <c r="J59" s="190"/>
      <c r="K59" s="189"/>
      <c r="L59" s="189"/>
      <c r="M59" s="183">
        <v>94587500</v>
      </c>
      <c r="N59" s="37"/>
      <c r="O59" s="37"/>
      <c r="P59" s="1"/>
      <c r="Q59" s="1"/>
    </row>
    <row r="60" spans="1:17" ht="25.5" x14ac:dyDescent="0.2">
      <c r="A60" s="1">
        <v>8</v>
      </c>
      <c r="B60" s="52"/>
      <c r="C60" s="53" t="s">
        <v>10</v>
      </c>
      <c r="D60" s="52"/>
      <c r="E60" s="52"/>
      <c r="F60" s="52"/>
      <c r="G60" s="195">
        <v>296081</v>
      </c>
      <c r="H60" s="80" t="s">
        <v>215</v>
      </c>
      <c r="I60" s="189"/>
      <c r="J60" s="190"/>
      <c r="K60" s="189"/>
      <c r="L60" s="189"/>
      <c r="M60" s="183">
        <f>+M61</f>
        <v>499422000</v>
      </c>
      <c r="N60" s="37"/>
      <c r="O60" s="37"/>
      <c r="P60" s="1"/>
      <c r="Q60" s="1"/>
    </row>
    <row r="61" spans="1:17" x14ac:dyDescent="0.2">
      <c r="A61" s="1">
        <v>9</v>
      </c>
      <c r="B61" s="52"/>
      <c r="C61" s="53"/>
      <c r="D61" s="52"/>
      <c r="E61" s="52"/>
      <c r="F61" s="52"/>
      <c r="G61" s="195"/>
      <c r="H61" s="80" t="s">
        <v>776</v>
      </c>
      <c r="I61" s="189"/>
      <c r="J61" s="190"/>
      <c r="K61" s="189"/>
      <c r="L61" s="189"/>
      <c r="M61" s="183">
        <v>499422000</v>
      </c>
      <c r="N61" s="37"/>
      <c r="O61" s="37"/>
      <c r="P61" s="1"/>
      <c r="Q61" s="1"/>
    </row>
    <row r="62" spans="1:17" ht="38.25" x14ac:dyDescent="0.2">
      <c r="A62" s="1"/>
      <c r="B62" s="52"/>
      <c r="C62" s="53" t="s">
        <v>10</v>
      </c>
      <c r="D62" s="52"/>
      <c r="E62" s="52"/>
      <c r="F62" s="52"/>
      <c r="G62" s="195">
        <v>296091</v>
      </c>
      <c r="H62" s="80" t="s">
        <v>784</v>
      </c>
      <c r="I62" s="189"/>
      <c r="J62" s="190"/>
      <c r="K62" s="189"/>
      <c r="L62" s="189"/>
      <c r="M62" s="183">
        <f>+M63</f>
        <v>113505000</v>
      </c>
      <c r="N62" s="37"/>
      <c r="O62" s="37"/>
      <c r="P62" s="1"/>
      <c r="Q62" s="1"/>
    </row>
    <row r="63" spans="1:17" x14ac:dyDescent="0.2">
      <c r="A63" s="1"/>
      <c r="B63" s="52"/>
      <c r="C63" s="53"/>
      <c r="D63" s="52"/>
      <c r="E63" s="52"/>
      <c r="F63" s="52"/>
      <c r="G63" s="195"/>
      <c r="H63" s="80" t="s">
        <v>776</v>
      </c>
      <c r="I63" s="189"/>
      <c r="J63" s="190"/>
      <c r="K63" s="189"/>
      <c r="L63" s="189"/>
      <c r="M63" s="183">
        <v>113505000</v>
      </c>
      <c r="N63" s="37"/>
      <c r="O63" s="37"/>
      <c r="P63" s="1"/>
      <c r="Q63" s="1"/>
    </row>
    <row r="64" spans="1:17" x14ac:dyDescent="0.2">
      <c r="A64" s="1">
        <v>6</v>
      </c>
      <c r="B64" s="52" t="s">
        <v>955</v>
      </c>
      <c r="C64" s="53"/>
      <c r="D64" s="52"/>
      <c r="E64" s="52"/>
      <c r="F64" s="52"/>
      <c r="G64" s="195"/>
      <c r="H64" s="173" t="s">
        <v>282</v>
      </c>
      <c r="I64" s="189"/>
      <c r="J64" s="190"/>
      <c r="K64" s="189"/>
      <c r="L64" s="189"/>
      <c r="M64" s="91">
        <f>+M70+M68</f>
        <v>130268000</v>
      </c>
      <c r="N64" s="37"/>
      <c r="O64" s="37"/>
      <c r="P64" s="1"/>
      <c r="Q64" s="1"/>
    </row>
    <row r="65" spans="1:17" ht="38.25" x14ac:dyDescent="0.2">
      <c r="A65" s="1"/>
      <c r="B65" s="52"/>
      <c r="C65" s="53"/>
      <c r="D65" s="52" t="s">
        <v>809</v>
      </c>
      <c r="E65" s="55">
        <v>151</v>
      </c>
      <c r="F65" s="52" t="s">
        <v>1080</v>
      </c>
      <c r="G65" s="195"/>
      <c r="H65" s="80" t="s">
        <v>74</v>
      </c>
      <c r="I65" s="196">
        <v>5</v>
      </c>
      <c r="J65" s="190" t="s">
        <v>286</v>
      </c>
      <c r="K65" s="196">
        <v>6</v>
      </c>
      <c r="L65" s="189" t="s">
        <v>1025</v>
      </c>
      <c r="M65" s="91"/>
      <c r="N65" s="37"/>
      <c r="O65" s="37"/>
      <c r="P65" s="1"/>
      <c r="Q65" s="1"/>
    </row>
    <row r="66" spans="1:17" ht="25.5" x14ac:dyDescent="0.2">
      <c r="A66" s="1">
        <v>7</v>
      </c>
      <c r="B66" s="52"/>
      <c r="C66" s="53"/>
      <c r="D66" s="52" t="s">
        <v>521</v>
      </c>
      <c r="E66" s="55">
        <v>152</v>
      </c>
      <c r="F66" s="52" t="s">
        <v>1080</v>
      </c>
      <c r="G66" s="195"/>
      <c r="H66" s="80" t="s">
        <v>753</v>
      </c>
      <c r="I66" s="196">
        <v>5</v>
      </c>
      <c r="J66" s="190" t="s">
        <v>1002</v>
      </c>
      <c r="K66" s="196">
        <v>2</v>
      </c>
      <c r="L66" s="189" t="s">
        <v>1025</v>
      </c>
      <c r="M66" s="194"/>
      <c r="N66" s="37"/>
      <c r="O66" s="37"/>
      <c r="P66" s="1"/>
      <c r="Q66" s="1"/>
    </row>
    <row r="67" spans="1:17" x14ac:dyDescent="0.2">
      <c r="A67" s="1">
        <v>7</v>
      </c>
      <c r="B67" s="52"/>
      <c r="C67" s="53"/>
      <c r="G67" s="191"/>
      <c r="H67" s="219"/>
      <c r="I67" s="191"/>
      <c r="J67" s="220"/>
      <c r="K67" s="191"/>
      <c r="L67" s="191"/>
      <c r="M67" s="194"/>
      <c r="N67" s="37"/>
      <c r="O67" s="37"/>
      <c r="P67" s="1"/>
      <c r="Q67" s="1"/>
    </row>
    <row r="68" spans="1:17" ht="38.25" x14ac:dyDescent="0.2">
      <c r="A68" s="1"/>
      <c r="B68" s="52"/>
      <c r="C68" s="53" t="s">
        <v>10</v>
      </c>
      <c r="D68" s="52"/>
      <c r="E68" s="55"/>
      <c r="F68" s="52"/>
      <c r="G68" s="195">
        <v>296090</v>
      </c>
      <c r="H68" s="80" t="s">
        <v>1450</v>
      </c>
      <c r="I68" s="196"/>
      <c r="J68" s="190"/>
      <c r="K68" s="196"/>
      <c r="L68" s="189"/>
      <c r="M68" s="183">
        <f>+M69</f>
        <v>100000000</v>
      </c>
      <c r="N68" s="37"/>
      <c r="O68" s="37"/>
      <c r="P68" s="1"/>
      <c r="Q68" s="1"/>
    </row>
    <row r="69" spans="1:17" x14ac:dyDescent="0.2">
      <c r="A69" s="1"/>
      <c r="B69" s="52"/>
      <c r="C69" s="53"/>
      <c r="D69" s="52"/>
      <c r="E69" s="55"/>
      <c r="F69" s="52"/>
      <c r="G69" s="195"/>
      <c r="H69" s="80" t="s">
        <v>68</v>
      </c>
      <c r="I69" s="196"/>
      <c r="J69" s="190"/>
      <c r="K69" s="196"/>
      <c r="L69" s="189"/>
      <c r="M69" s="183">
        <v>100000000</v>
      </c>
      <c r="N69" s="37"/>
      <c r="O69" s="37"/>
      <c r="P69" s="1"/>
      <c r="Q69" s="1"/>
    </row>
    <row r="70" spans="1:17" ht="38.25" x14ac:dyDescent="0.2">
      <c r="A70" s="1">
        <v>8</v>
      </c>
      <c r="B70" s="52"/>
      <c r="C70" s="53" t="s">
        <v>10</v>
      </c>
      <c r="D70" s="52"/>
      <c r="E70" s="52"/>
      <c r="F70" s="52"/>
      <c r="G70" s="195">
        <v>296030</v>
      </c>
      <c r="H70" s="80" t="s">
        <v>742</v>
      </c>
      <c r="I70" s="189"/>
      <c r="J70" s="190"/>
      <c r="K70" s="189"/>
      <c r="L70" s="189"/>
      <c r="M70" s="183">
        <f>+M71</f>
        <v>30268000</v>
      </c>
      <c r="N70" s="37"/>
      <c r="O70" s="37"/>
      <c r="P70" s="1"/>
      <c r="Q70" s="1"/>
    </row>
    <row r="71" spans="1:17" x14ac:dyDescent="0.2">
      <c r="A71" s="1">
        <v>9</v>
      </c>
      <c r="B71" s="52"/>
      <c r="C71" s="53"/>
      <c r="D71" s="52"/>
      <c r="E71" s="52"/>
      <c r="F71" s="52"/>
      <c r="G71" s="195"/>
      <c r="H71" s="80" t="s">
        <v>776</v>
      </c>
      <c r="I71" s="189"/>
      <c r="J71" s="190"/>
      <c r="K71" s="189"/>
      <c r="L71" s="189"/>
      <c r="M71" s="183">
        <v>30268000</v>
      </c>
      <c r="N71" s="37"/>
      <c r="O71" s="37"/>
      <c r="P71" s="1"/>
      <c r="Q71" s="1"/>
    </row>
    <row r="72" spans="1:17" x14ac:dyDescent="0.2">
      <c r="A72" s="1"/>
      <c r="B72" s="52"/>
      <c r="C72" s="53"/>
      <c r="D72" s="52"/>
      <c r="E72" s="52"/>
      <c r="F72" s="52"/>
      <c r="G72" s="195"/>
      <c r="H72" s="80" t="s">
        <v>1115</v>
      </c>
      <c r="I72" s="189"/>
      <c r="J72" s="190"/>
      <c r="K72" s="189"/>
      <c r="L72" s="189"/>
      <c r="M72" s="183"/>
      <c r="N72" s="37"/>
      <c r="O72" s="37"/>
      <c r="P72" s="1"/>
      <c r="Q72" s="1"/>
    </row>
    <row r="73" spans="1:17" x14ac:dyDescent="0.2">
      <c r="A73" s="1">
        <v>4</v>
      </c>
      <c r="B73" s="52" t="s">
        <v>885</v>
      </c>
      <c r="C73" s="53"/>
      <c r="D73" s="52"/>
      <c r="E73" s="52"/>
      <c r="F73" s="52"/>
      <c r="G73" s="195"/>
      <c r="H73" s="173" t="s">
        <v>740</v>
      </c>
      <c r="I73" s="189"/>
      <c r="J73" s="190"/>
      <c r="K73" s="189"/>
      <c r="L73" s="189"/>
      <c r="M73" s="91">
        <f>+M75</f>
        <v>174041000</v>
      </c>
      <c r="N73" s="37"/>
      <c r="O73" s="37"/>
      <c r="P73" s="1"/>
      <c r="Q73" s="1"/>
    </row>
    <row r="74" spans="1:17" ht="25.5" x14ac:dyDescent="0.2">
      <c r="A74" s="1">
        <v>5</v>
      </c>
      <c r="B74" s="52"/>
      <c r="C74" s="53"/>
      <c r="D74" s="52"/>
      <c r="E74" s="55">
        <v>160</v>
      </c>
      <c r="F74" s="52" t="s">
        <v>268</v>
      </c>
      <c r="G74" s="195"/>
      <c r="H74" s="80" t="s">
        <v>759</v>
      </c>
      <c r="I74" s="196">
        <v>30</v>
      </c>
      <c r="J74" s="190" t="s">
        <v>440</v>
      </c>
      <c r="K74" s="196"/>
      <c r="L74" s="189"/>
      <c r="M74" s="194"/>
      <c r="N74" s="37"/>
      <c r="O74" s="37"/>
      <c r="P74" s="1"/>
      <c r="Q74" s="1"/>
    </row>
    <row r="75" spans="1:17" x14ac:dyDescent="0.2">
      <c r="A75" s="1">
        <v>6</v>
      </c>
      <c r="B75" s="52" t="s">
        <v>497</v>
      </c>
      <c r="C75" s="53"/>
      <c r="D75" s="52"/>
      <c r="E75" s="52"/>
      <c r="F75" s="52"/>
      <c r="G75" s="195"/>
      <c r="H75" s="173" t="s">
        <v>316</v>
      </c>
      <c r="I75" s="189"/>
      <c r="J75" s="190"/>
      <c r="K75" s="189"/>
      <c r="L75" s="189"/>
      <c r="M75" s="91">
        <f>+M81+M83+M85+M87</f>
        <v>174041000</v>
      </c>
      <c r="N75" s="37"/>
      <c r="O75" s="37"/>
      <c r="P75" s="1"/>
      <c r="Q75" s="1"/>
    </row>
    <row r="76" spans="1:17" ht="38.25" x14ac:dyDescent="0.2">
      <c r="A76" s="1"/>
      <c r="B76" s="52"/>
      <c r="C76" s="53"/>
      <c r="D76" s="52" t="s">
        <v>809</v>
      </c>
      <c r="E76" s="55">
        <v>167</v>
      </c>
      <c r="F76" s="52" t="s">
        <v>1080</v>
      </c>
      <c r="G76" s="195"/>
      <c r="H76" s="80" t="s">
        <v>752</v>
      </c>
      <c r="I76" s="196">
        <v>80</v>
      </c>
      <c r="J76" s="190" t="s">
        <v>651</v>
      </c>
      <c r="K76" s="196">
        <v>10</v>
      </c>
      <c r="L76" s="189" t="s">
        <v>1167</v>
      </c>
      <c r="M76" s="91"/>
      <c r="N76" s="37"/>
      <c r="O76" s="37"/>
      <c r="P76" s="1"/>
      <c r="Q76" s="1"/>
    </row>
    <row r="77" spans="1:17" ht="25.5" x14ac:dyDescent="0.2">
      <c r="A77" s="1">
        <v>7</v>
      </c>
      <c r="B77" s="52"/>
      <c r="C77" s="53"/>
      <c r="D77" s="52" t="s">
        <v>521</v>
      </c>
      <c r="E77" s="55">
        <v>168</v>
      </c>
      <c r="F77" s="52" t="s">
        <v>1080</v>
      </c>
      <c r="G77" s="195"/>
      <c r="H77" s="80" t="s">
        <v>94</v>
      </c>
      <c r="I77" s="196">
        <v>3</v>
      </c>
      <c r="J77" s="190" t="s">
        <v>1002</v>
      </c>
      <c r="K77" s="196">
        <v>3</v>
      </c>
      <c r="L77" s="189" t="s">
        <v>301</v>
      </c>
      <c r="M77" s="194"/>
      <c r="N77" s="37"/>
      <c r="O77" s="37"/>
      <c r="P77" s="1"/>
      <c r="Q77" s="1"/>
    </row>
    <row r="78" spans="1:17" ht="25.5" x14ac:dyDescent="0.2">
      <c r="A78" s="1">
        <v>7</v>
      </c>
      <c r="B78" s="52"/>
      <c r="C78" s="53"/>
      <c r="D78" s="52" t="s">
        <v>521</v>
      </c>
      <c r="E78" s="55">
        <v>169</v>
      </c>
      <c r="F78" s="52" t="s">
        <v>1080</v>
      </c>
      <c r="G78" s="195"/>
      <c r="H78" s="80" t="s">
        <v>374</v>
      </c>
      <c r="I78" s="196">
        <v>5</v>
      </c>
      <c r="J78" s="190" t="s">
        <v>286</v>
      </c>
      <c r="K78" s="196">
        <v>10</v>
      </c>
      <c r="L78" s="189" t="s">
        <v>1137</v>
      </c>
      <c r="M78" s="194"/>
      <c r="N78" s="37"/>
      <c r="O78" s="37"/>
      <c r="P78" s="1"/>
      <c r="Q78" s="1"/>
    </row>
    <row r="79" spans="1:17" ht="38.25" x14ac:dyDescent="0.2">
      <c r="A79" s="1">
        <v>7</v>
      </c>
      <c r="B79" s="52"/>
      <c r="C79" s="53"/>
      <c r="D79" s="52" t="s">
        <v>521</v>
      </c>
      <c r="E79" s="55">
        <v>170</v>
      </c>
      <c r="F79" s="52" t="s">
        <v>1080</v>
      </c>
      <c r="G79" s="195"/>
      <c r="H79" s="80" t="s">
        <v>433</v>
      </c>
      <c r="I79" s="196">
        <v>100</v>
      </c>
      <c r="J79" s="190" t="s">
        <v>1007</v>
      </c>
      <c r="K79" s="196">
        <v>131</v>
      </c>
      <c r="L79" s="189" t="s">
        <v>1167</v>
      </c>
      <c r="M79" s="194"/>
      <c r="N79" s="37"/>
      <c r="O79" s="37"/>
      <c r="P79" s="1"/>
      <c r="Q79" s="1"/>
    </row>
    <row r="80" spans="1:17" x14ac:dyDescent="0.2">
      <c r="A80" s="1">
        <v>7</v>
      </c>
      <c r="B80" s="52"/>
      <c r="C80" s="53"/>
      <c r="G80" s="191"/>
      <c r="H80" s="219"/>
      <c r="I80" s="191"/>
      <c r="J80" s="220"/>
      <c r="K80" s="191"/>
      <c r="L80" s="191"/>
      <c r="M80" s="194"/>
      <c r="N80" s="37"/>
      <c r="O80" s="37"/>
      <c r="P80" s="1"/>
      <c r="Q80" s="1"/>
    </row>
    <row r="81" spans="1:17" ht="38.25" x14ac:dyDescent="0.2">
      <c r="A81" s="1">
        <v>8</v>
      </c>
      <c r="B81" s="52"/>
      <c r="C81" s="53" t="s">
        <v>10</v>
      </c>
      <c r="D81" s="52"/>
      <c r="E81" s="52"/>
      <c r="F81" s="52"/>
      <c r="G81" s="195">
        <v>296091</v>
      </c>
      <c r="H81" s="80" t="s">
        <v>784</v>
      </c>
      <c r="I81" s="189"/>
      <c r="J81" s="190"/>
      <c r="K81" s="189"/>
      <c r="L81" s="189"/>
      <c r="M81" s="183">
        <f>+M82</f>
        <v>30268000</v>
      </c>
      <c r="N81" s="37"/>
      <c r="O81" s="37"/>
      <c r="P81" s="1"/>
      <c r="Q81" s="1"/>
    </row>
    <row r="82" spans="1:17" x14ac:dyDescent="0.2">
      <c r="A82" s="1">
        <v>9</v>
      </c>
      <c r="B82" s="52"/>
      <c r="C82" s="53"/>
      <c r="D82" s="52"/>
      <c r="E82" s="52"/>
      <c r="F82" s="52"/>
      <c r="G82" s="195"/>
      <c r="H82" s="80" t="s">
        <v>776</v>
      </c>
      <c r="I82" s="189"/>
      <c r="J82" s="190"/>
      <c r="K82" s="189"/>
      <c r="L82" s="189"/>
      <c r="M82" s="183">
        <v>30268000</v>
      </c>
      <c r="N82" s="37"/>
      <c r="O82" s="37"/>
      <c r="P82" s="1"/>
      <c r="Q82" s="1"/>
    </row>
    <row r="83" spans="1:17" ht="38.25" x14ac:dyDescent="0.2">
      <c r="A83" s="1">
        <v>8</v>
      </c>
      <c r="B83" s="52"/>
      <c r="C83" s="53" t="s">
        <v>10</v>
      </c>
      <c r="D83" s="52"/>
      <c r="E83" s="52"/>
      <c r="F83" s="52"/>
      <c r="G83" s="195">
        <v>296030</v>
      </c>
      <c r="H83" s="80" t="s">
        <v>742</v>
      </c>
      <c r="I83" s="189"/>
      <c r="J83" s="190"/>
      <c r="K83" s="189"/>
      <c r="L83" s="189"/>
      <c r="M83" s="183">
        <f>+M84</f>
        <v>15134000</v>
      </c>
      <c r="N83" s="37"/>
      <c r="O83" s="37"/>
      <c r="P83" s="1"/>
      <c r="Q83" s="1"/>
    </row>
    <row r="84" spans="1:17" x14ac:dyDescent="0.2">
      <c r="A84" s="1">
        <v>9</v>
      </c>
      <c r="B84" s="52"/>
      <c r="C84" s="53"/>
      <c r="D84" s="52"/>
      <c r="E84" s="52"/>
      <c r="F84" s="52"/>
      <c r="G84" s="195"/>
      <c r="H84" s="80" t="s">
        <v>776</v>
      </c>
      <c r="I84" s="189"/>
      <c r="J84" s="190"/>
      <c r="K84" s="189"/>
      <c r="L84" s="189"/>
      <c r="M84" s="183">
        <v>15134000</v>
      </c>
      <c r="N84" s="37"/>
      <c r="O84" s="37"/>
      <c r="P84" s="1"/>
      <c r="Q84" s="1"/>
    </row>
    <row r="85" spans="1:17" ht="25.5" x14ac:dyDescent="0.2">
      <c r="A85" s="1">
        <v>8</v>
      </c>
      <c r="B85" s="52"/>
      <c r="C85" s="53" t="s">
        <v>10</v>
      </c>
      <c r="D85" s="52"/>
      <c r="E85" s="52"/>
      <c r="F85" s="52"/>
      <c r="G85" s="195">
        <v>296089</v>
      </c>
      <c r="H85" s="80" t="s">
        <v>347</v>
      </c>
      <c r="I85" s="189"/>
      <c r="J85" s="190"/>
      <c r="K85" s="189"/>
      <c r="L85" s="189"/>
      <c r="M85" s="183">
        <f>+M86</f>
        <v>34051500</v>
      </c>
      <c r="N85" s="37"/>
      <c r="O85" s="37"/>
      <c r="P85" s="1"/>
      <c r="Q85" s="1"/>
    </row>
    <row r="86" spans="1:17" x14ac:dyDescent="0.2">
      <c r="A86" s="1">
        <v>9</v>
      </c>
      <c r="B86" s="52"/>
      <c r="C86" s="53"/>
      <c r="D86" s="52"/>
      <c r="E86" s="52"/>
      <c r="F86" s="52"/>
      <c r="G86" s="195"/>
      <c r="H86" s="80" t="s">
        <v>776</v>
      </c>
      <c r="I86" s="189"/>
      <c r="J86" s="190"/>
      <c r="K86" s="189"/>
      <c r="L86" s="189"/>
      <c r="M86" s="183">
        <v>34051500</v>
      </c>
      <c r="N86" s="37"/>
      <c r="O86" s="37"/>
      <c r="P86" s="1"/>
      <c r="Q86" s="1"/>
    </row>
    <row r="87" spans="1:17" ht="25.5" x14ac:dyDescent="0.2">
      <c r="A87" s="1">
        <v>8</v>
      </c>
      <c r="B87" s="52"/>
      <c r="C87" s="53" t="s">
        <v>10</v>
      </c>
      <c r="D87" s="52"/>
      <c r="E87" s="52"/>
      <c r="F87" s="52"/>
      <c r="G87" s="195">
        <v>296063</v>
      </c>
      <c r="H87" s="80" t="s">
        <v>34</v>
      </c>
      <c r="I87" s="189"/>
      <c r="J87" s="190"/>
      <c r="K87" s="189"/>
      <c r="L87" s="189"/>
      <c r="M87" s="183">
        <f>+M88</f>
        <v>94587500</v>
      </c>
      <c r="N87" s="37"/>
      <c r="O87" s="37"/>
      <c r="P87" s="1"/>
      <c r="Q87" s="1"/>
    </row>
    <row r="88" spans="1:17" x14ac:dyDescent="0.2">
      <c r="A88" s="1">
        <v>9</v>
      </c>
      <c r="B88" s="52"/>
      <c r="C88" s="53"/>
      <c r="D88" s="52"/>
      <c r="E88" s="52"/>
      <c r="F88" s="52"/>
      <c r="G88" s="195"/>
      <c r="H88" s="80" t="s">
        <v>776</v>
      </c>
      <c r="I88" s="189"/>
      <c r="J88" s="190"/>
      <c r="K88" s="189"/>
      <c r="L88" s="189"/>
      <c r="M88" s="183">
        <v>94587500</v>
      </c>
      <c r="N88" s="37"/>
      <c r="O88" s="37"/>
      <c r="P88" s="1"/>
      <c r="Q88" s="1"/>
    </row>
    <row r="89" spans="1:17" x14ac:dyDescent="0.2">
      <c r="A89" s="1"/>
      <c r="B89" s="52"/>
      <c r="C89" s="53"/>
      <c r="D89" s="52"/>
      <c r="E89" s="52"/>
      <c r="F89" s="52"/>
      <c r="G89" s="195"/>
      <c r="H89" s="80"/>
      <c r="I89" s="189"/>
      <c r="J89" s="190"/>
      <c r="K89" s="189"/>
      <c r="L89" s="189"/>
      <c r="M89" s="183"/>
      <c r="N89" s="37"/>
      <c r="O89" s="37"/>
      <c r="P89" s="1"/>
      <c r="Q89" s="1"/>
    </row>
    <row r="90" spans="1:17" x14ac:dyDescent="0.2">
      <c r="A90" s="1">
        <v>4</v>
      </c>
      <c r="B90" s="52" t="s">
        <v>450</v>
      </c>
      <c r="C90" s="53"/>
      <c r="D90" s="52"/>
      <c r="E90" s="52"/>
      <c r="F90" s="52"/>
      <c r="G90" s="195"/>
      <c r="H90" s="173" t="s">
        <v>299</v>
      </c>
      <c r="I90" s="189"/>
      <c r="J90" s="190"/>
      <c r="K90" s="189"/>
      <c r="L90" s="189"/>
      <c r="M90" s="91">
        <f>+M92</f>
        <v>87020500</v>
      </c>
      <c r="N90" s="37"/>
      <c r="O90" s="37"/>
      <c r="P90" s="1"/>
      <c r="Q90" s="1"/>
    </row>
    <row r="91" spans="1:17" ht="38.25" x14ac:dyDescent="0.2">
      <c r="A91" s="1">
        <v>5</v>
      </c>
      <c r="B91" s="52"/>
      <c r="C91" s="53"/>
      <c r="D91" s="52"/>
      <c r="E91" s="55">
        <v>179</v>
      </c>
      <c r="F91" s="52" t="s">
        <v>268</v>
      </c>
      <c r="G91" s="195"/>
      <c r="H91" s="80" t="s">
        <v>1057</v>
      </c>
      <c r="I91" s="196">
        <v>5</v>
      </c>
      <c r="J91" s="190" t="s">
        <v>440</v>
      </c>
      <c r="K91" s="196"/>
      <c r="L91" s="189"/>
      <c r="M91" s="194"/>
      <c r="N91" s="37"/>
      <c r="O91" s="37"/>
      <c r="P91" s="1"/>
      <c r="Q91" s="1"/>
    </row>
    <row r="92" spans="1:17" x14ac:dyDescent="0.2">
      <c r="A92" s="1">
        <v>6</v>
      </c>
      <c r="B92" s="52" t="s">
        <v>497</v>
      </c>
      <c r="C92" s="53"/>
      <c r="D92" s="52"/>
      <c r="E92" s="52"/>
      <c r="F92" s="52"/>
      <c r="G92" s="195"/>
      <c r="H92" s="173" t="s">
        <v>316</v>
      </c>
      <c r="I92" s="189"/>
      <c r="J92" s="190"/>
      <c r="K92" s="189"/>
      <c r="L92" s="189"/>
      <c r="M92" s="91">
        <f>+M96+M98+M100</f>
        <v>87020500</v>
      </c>
      <c r="N92" s="37"/>
      <c r="O92" s="37"/>
      <c r="P92" s="1"/>
      <c r="Q92" s="1"/>
    </row>
    <row r="93" spans="1:17" ht="38.25" x14ac:dyDescent="0.2">
      <c r="A93" s="1"/>
      <c r="B93" s="52"/>
      <c r="C93" s="53"/>
      <c r="D93" s="52" t="s">
        <v>827</v>
      </c>
      <c r="E93" s="55">
        <v>190</v>
      </c>
      <c r="F93" s="52" t="s">
        <v>1080</v>
      </c>
      <c r="G93" s="195"/>
      <c r="H93" s="80" t="s">
        <v>23</v>
      </c>
      <c r="I93" s="196">
        <v>100</v>
      </c>
      <c r="J93" s="190" t="s">
        <v>1007</v>
      </c>
      <c r="K93" s="196">
        <v>131</v>
      </c>
      <c r="L93" s="189" t="s">
        <v>1167</v>
      </c>
      <c r="M93" s="91"/>
      <c r="N93" s="37"/>
      <c r="O93" s="37"/>
      <c r="P93" s="1"/>
      <c r="Q93" s="1"/>
    </row>
    <row r="94" spans="1:17" ht="38.25" x14ac:dyDescent="0.2">
      <c r="A94" s="1">
        <v>7</v>
      </c>
      <c r="B94" s="52"/>
      <c r="C94" s="53"/>
      <c r="D94" s="52" t="s">
        <v>809</v>
      </c>
      <c r="E94" s="55">
        <v>191</v>
      </c>
      <c r="F94" s="52" t="s">
        <v>1080</v>
      </c>
      <c r="G94" s="195"/>
      <c r="H94" s="80" t="s">
        <v>668</v>
      </c>
      <c r="I94" s="196">
        <v>5</v>
      </c>
      <c r="J94" s="190" t="s">
        <v>286</v>
      </c>
      <c r="K94" s="196">
        <v>10</v>
      </c>
      <c r="L94" s="189" t="s">
        <v>1137</v>
      </c>
      <c r="M94" s="194"/>
      <c r="N94" s="37"/>
      <c r="O94" s="37"/>
      <c r="P94" s="1"/>
      <c r="Q94" s="1"/>
    </row>
    <row r="95" spans="1:17" x14ac:dyDescent="0.2">
      <c r="A95" s="1">
        <v>7</v>
      </c>
      <c r="B95" s="52"/>
      <c r="C95" s="53"/>
      <c r="G95" s="191"/>
      <c r="H95" s="219"/>
      <c r="I95" s="191"/>
      <c r="J95" s="220"/>
      <c r="K95" s="191"/>
      <c r="L95" s="191"/>
      <c r="M95" s="194"/>
      <c r="N95" s="37"/>
      <c r="O95" s="37"/>
      <c r="P95" s="1"/>
      <c r="Q95" s="1"/>
    </row>
    <row r="96" spans="1:17" ht="38.25" x14ac:dyDescent="0.2">
      <c r="A96" s="1">
        <v>8</v>
      </c>
      <c r="B96" s="52"/>
      <c r="C96" s="53" t="s">
        <v>10</v>
      </c>
      <c r="D96" s="52"/>
      <c r="E96" s="52"/>
      <c r="F96" s="52"/>
      <c r="G96" s="195">
        <v>296091</v>
      </c>
      <c r="H96" s="80" t="s">
        <v>784</v>
      </c>
      <c r="I96" s="189"/>
      <c r="J96" s="190"/>
      <c r="K96" s="189"/>
      <c r="L96" s="189"/>
      <c r="M96" s="183">
        <f>+M97</f>
        <v>30268000</v>
      </c>
      <c r="N96" s="37"/>
      <c r="O96" s="37"/>
      <c r="P96" s="1"/>
      <c r="Q96" s="1"/>
    </row>
    <row r="97" spans="1:17" x14ac:dyDescent="0.2">
      <c r="A97" s="1">
        <v>9</v>
      </c>
      <c r="B97" s="52"/>
      <c r="C97" s="53"/>
      <c r="D97" s="52"/>
      <c r="E97" s="52"/>
      <c r="F97" s="52"/>
      <c r="G97" s="195"/>
      <c r="H97" s="80" t="s">
        <v>776</v>
      </c>
      <c r="I97" s="189"/>
      <c r="J97" s="190"/>
      <c r="K97" s="189"/>
      <c r="L97" s="189"/>
      <c r="M97" s="183">
        <v>30268000</v>
      </c>
      <c r="N97" s="37"/>
      <c r="O97" s="37"/>
      <c r="P97" s="1"/>
      <c r="Q97" s="1"/>
    </row>
    <row r="98" spans="1:17" ht="38.25" x14ac:dyDescent="0.2">
      <c r="A98" s="1">
        <v>8</v>
      </c>
      <c r="B98" s="52"/>
      <c r="C98" s="53" t="s">
        <v>10</v>
      </c>
      <c r="D98" s="52"/>
      <c r="E98" s="52"/>
      <c r="F98" s="52"/>
      <c r="G98" s="195">
        <v>296030</v>
      </c>
      <c r="H98" s="80" t="s">
        <v>742</v>
      </c>
      <c r="I98" s="189"/>
      <c r="J98" s="190"/>
      <c r="K98" s="189"/>
      <c r="L98" s="189"/>
      <c r="M98" s="183">
        <f>+M99</f>
        <v>0</v>
      </c>
      <c r="N98" s="37"/>
      <c r="O98" s="37"/>
      <c r="P98" s="1"/>
      <c r="Q98" s="1"/>
    </row>
    <row r="99" spans="1:17" x14ac:dyDescent="0.2">
      <c r="A99" s="1">
        <v>9</v>
      </c>
      <c r="B99" s="52"/>
      <c r="C99" s="53"/>
      <c r="D99" s="52"/>
      <c r="E99" s="52"/>
      <c r="F99" s="52"/>
      <c r="G99" s="195"/>
      <c r="H99" s="80" t="s">
        <v>776</v>
      </c>
      <c r="I99" s="189"/>
      <c r="J99" s="190"/>
      <c r="K99" s="189"/>
      <c r="L99" s="189"/>
      <c r="M99" s="183"/>
      <c r="N99" s="37"/>
      <c r="O99" s="37"/>
      <c r="P99" s="1"/>
      <c r="Q99" s="1"/>
    </row>
    <row r="100" spans="1:17" ht="25.5" x14ac:dyDescent="0.2">
      <c r="A100" s="1">
        <v>8</v>
      </c>
      <c r="B100" s="52"/>
      <c r="C100" s="53" t="s">
        <v>10</v>
      </c>
      <c r="D100" s="52"/>
      <c r="E100" s="52"/>
      <c r="F100" s="52"/>
      <c r="G100" s="195">
        <v>296063</v>
      </c>
      <c r="H100" s="80" t="s">
        <v>34</v>
      </c>
      <c r="I100" s="189"/>
      <c r="J100" s="190"/>
      <c r="K100" s="189"/>
      <c r="L100" s="189"/>
      <c r="M100" s="183">
        <f>+M101</f>
        <v>56752500</v>
      </c>
      <c r="N100" s="37"/>
      <c r="O100" s="37"/>
      <c r="P100" s="1"/>
      <c r="Q100" s="1"/>
    </row>
    <row r="101" spans="1:17" x14ac:dyDescent="0.2">
      <c r="A101" s="1">
        <v>9</v>
      </c>
      <c r="B101" s="52"/>
      <c r="C101" s="53"/>
      <c r="D101" s="52"/>
      <c r="E101" s="52"/>
      <c r="F101" s="52"/>
      <c r="G101" s="195"/>
      <c r="H101" s="80" t="s">
        <v>776</v>
      </c>
      <c r="I101" s="189"/>
      <c r="J101" s="190"/>
      <c r="K101" s="189"/>
      <c r="L101" s="189"/>
      <c r="M101" s="183">
        <v>56752500</v>
      </c>
      <c r="N101" s="37"/>
      <c r="O101" s="37"/>
      <c r="P101" s="1"/>
      <c r="Q101" s="1"/>
    </row>
    <row r="102" spans="1:17" x14ac:dyDescent="0.2">
      <c r="A102" s="1"/>
      <c r="B102" s="52"/>
      <c r="C102" s="53"/>
      <c r="D102" s="52"/>
      <c r="E102" s="52"/>
      <c r="F102" s="52"/>
      <c r="G102" s="195"/>
      <c r="H102" s="80"/>
      <c r="I102" s="189"/>
      <c r="J102" s="190"/>
      <c r="K102" s="189"/>
      <c r="L102" s="189"/>
      <c r="M102" s="183"/>
      <c r="N102" s="37"/>
      <c r="O102" s="37"/>
      <c r="P102" s="1"/>
      <c r="Q102" s="1"/>
    </row>
    <row r="103" spans="1:17" ht="25.5" x14ac:dyDescent="0.2">
      <c r="A103" s="1">
        <v>4</v>
      </c>
      <c r="B103" s="52" t="s">
        <v>1069</v>
      </c>
      <c r="C103" s="53"/>
      <c r="D103" s="52"/>
      <c r="E103" s="52"/>
      <c r="F103" s="52"/>
      <c r="G103" s="195"/>
      <c r="H103" s="173" t="s">
        <v>101</v>
      </c>
      <c r="I103" s="189"/>
      <c r="J103" s="190"/>
      <c r="K103" s="189"/>
      <c r="L103" s="189"/>
      <c r="M103" s="91">
        <f>+M105+M109</f>
        <v>123917500</v>
      </c>
      <c r="N103" s="37"/>
      <c r="O103" s="37"/>
      <c r="P103" s="1"/>
      <c r="Q103" s="1"/>
    </row>
    <row r="104" spans="1:17" ht="25.5" x14ac:dyDescent="0.2">
      <c r="A104" s="1">
        <v>5</v>
      </c>
      <c r="B104" s="52"/>
      <c r="C104" s="53"/>
      <c r="D104" s="52"/>
      <c r="E104" s="55">
        <v>269</v>
      </c>
      <c r="F104" s="52" t="s">
        <v>268</v>
      </c>
      <c r="G104" s="195"/>
      <c r="H104" s="80" t="s">
        <v>360</v>
      </c>
      <c r="I104" s="196">
        <v>116</v>
      </c>
      <c r="J104" s="190" t="s">
        <v>286</v>
      </c>
      <c r="K104" s="196"/>
      <c r="L104" s="189"/>
      <c r="M104" s="194"/>
      <c r="N104" s="37"/>
      <c r="O104" s="37"/>
      <c r="P104" s="1"/>
      <c r="Q104" s="1"/>
    </row>
    <row r="105" spans="1:17" ht="25.5" x14ac:dyDescent="0.2">
      <c r="A105" s="1">
        <v>6</v>
      </c>
      <c r="B105" s="52" t="s">
        <v>857</v>
      </c>
      <c r="C105" s="53"/>
      <c r="D105" s="52"/>
      <c r="E105" s="52"/>
      <c r="F105" s="52"/>
      <c r="G105" s="195"/>
      <c r="H105" s="173" t="s">
        <v>677</v>
      </c>
      <c r="I105" s="189"/>
      <c r="J105" s="190"/>
      <c r="K105" s="189"/>
      <c r="L105" s="189"/>
      <c r="M105" s="91">
        <f>+M107</f>
        <v>30000000</v>
      </c>
      <c r="N105" s="37"/>
      <c r="O105" s="37"/>
      <c r="P105" s="1"/>
      <c r="Q105" s="1"/>
    </row>
    <row r="106" spans="1:17" ht="51" x14ac:dyDescent="0.2">
      <c r="A106" s="1">
        <v>7</v>
      </c>
      <c r="B106" s="52"/>
      <c r="C106" s="53"/>
      <c r="D106" s="52" t="s">
        <v>538</v>
      </c>
      <c r="E106" s="55">
        <v>276</v>
      </c>
      <c r="F106" s="52" t="s">
        <v>1080</v>
      </c>
      <c r="G106" s="195"/>
      <c r="H106" s="80" t="s">
        <v>915</v>
      </c>
      <c r="I106" s="196">
        <v>1</v>
      </c>
      <c r="J106" s="190" t="s">
        <v>367</v>
      </c>
      <c r="K106" s="196">
        <v>2</v>
      </c>
      <c r="L106" s="189" t="s">
        <v>301</v>
      </c>
      <c r="M106" s="194"/>
      <c r="N106" s="37"/>
      <c r="O106" s="37"/>
      <c r="P106" s="1"/>
      <c r="Q106" s="1"/>
    </row>
    <row r="107" spans="1:17" ht="38.25" x14ac:dyDescent="0.2">
      <c r="A107" s="1">
        <v>8</v>
      </c>
      <c r="B107" s="52"/>
      <c r="C107" s="53" t="s">
        <v>10</v>
      </c>
      <c r="D107" s="52"/>
      <c r="E107" s="52"/>
      <c r="F107" s="52"/>
      <c r="G107" s="195">
        <v>296073</v>
      </c>
      <c r="H107" s="80" t="s">
        <v>929</v>
      </c>
      <c r="I107" s="189"/>
      <c r="J107" s="190"/>
      <c r="K107" s="189"/>
      <c r="L107" s="189"/>
      <c r="M107" s="183">
        <f>+M108</f>
        <v>30000000</v>
      </c>
      <c r="N107" s="37"/>
      <c r="O107" s="37"/>
      <c r="P107" s="1"/>
      <c r="Q107" s="1"/>
    </row>
    <row r="108" spans="1:17" x14ac:dyDescent="0.2">
      <c r="A108" s="1">
        <v>9</v>
      </c>
      <c r="B108" s="52"/>
      <c r="C108" s="53"/>
      <c r="D108" s="52"/>
      <c r="E108" s="52"/>
      <c r="F108" s="52"/>
      <c r="G108" s="195"/>
      <c r="H108" s="80" t="s">
        <v>835</v>
      </c>
      <c r="I108" s="189"/>
      <c r="J108" s="190"/>
      <c r="K108" s="189"/>
      <c r="L108" s="189"/>
      <c r="M108" s="183">
        <v>30000000</v>
      </c>
      <c r="N108" s="37"/>
      <c r="O108" s="37"/>
      <c r="P108" s="1"/>
      <c r="Q108" s="1"/>
    </row>
    <row r="109" spans="1:17" x14ac:dyDescent="0.2">
      <c r="A109" s="1">
        <v>6</v>
      </c>
      <c r="B109" s="52" t="s">
        <v>955</v>
      </c>
      <c r="C109" s="53"/>
      <c r="D109" s="52"/>
      <c r="E109" s="52"/>
      <c r="F109" s="52"/>
      <c r="G109" s="195"/>
      <c r="H109" s="173" t="s">
        <v>667</v>
      </c>
      <c r="I109" s="189"/>
      <c r="J109" s="190"/>
      <c r="K109" s="189"/>
      <c r="L109" s="189"/>
      <c r="M109" s="91">
        <f>+M114+M116+M118</f>
        <v>93917500</v>
      </c>
      <c r="N109" s="37"/>
      <c r="O109" s="37"/>
      <c r="P109" s="1"/>
      <c r="Q109" s="1"/>
    </row>
    <row r="110" spans="1:17" ht="25.5" x14ac:dyDescent="0.2">
      <c r="A110" s="1">
        <v>7</v>
      </c>
      <c r="B110" s="52"/>
      <c r="C110" s="53"/>
      <c r="D110" s="52" t="s">
        <v>972</v>
      </c>
      <c r="E110" s="55">
        <v>315</v>
      </c>
      <c r="F110" s="52" t="s">
        <v>1080</v>
      </c>
      <c r="G110" s="195"/>
      <c r="H110" s="80" t="s">
        <v>8</v>
      </c>
      <c r="I110" s="196">
        <v>20</v>
      </c>
      <c r="J110" s="190" t="s">
        <v>84</v>
      </c>
      <c r="K110" s="196">
        <v>0</v>
      </c>
      <c r="L110" s="189" t="s">
        <v>114</v>
      </c>
      <c r="M110" s="194"/>
      <c r="N110" s="37"/>
      <c r="O110" s="37"/>
      <c r="P110" s="1"/>
      <c r="Q110" s="1"/>
    </row>
    <row r="111" spans="1:17" ht="38.25" x14ac:dyDescent="0.2">
      <c r="A111" s="1"/>
      <c r="B111" s="52"/>
      <c r="C111" s="53"/>
      <c r="D111" s="52" t="s">
        <v>538</v>
      </c>
      <c r="E111" s="55">
        <v>316</v>
      </c>
      <c r="F111" s="52" t="s">
        <v>1080</v>
      </c>
      <c r="G111" s="195"/>
      <c r="H111" s="80" t="s">
        <v>783</v>
      </c>
      <c r="I111" s="196">
        <v>8</v>
      </c>
      <c r="J111" s="190" t="s">
        <v>799</v>
      </c>
      <c r="K111" s="196">
        <v>6</v>
      </c>
      <c r="L111" s="189" t="s">
        <v>422</v>
      </c>
      <c r="M111" s="194"/>
      <c r="N111" s="37"/>
      <c r="O111" s="37"/>
      <c r="P111" s="1"/>
      <c r="Q111" s="1"/>
    </row>
    <row r="112" spans="1:17" ht="38.25" x14ac:dyDescent="0.2">
      <c r="A112" s="1">
        <v>7</v>
      </c>
      <c r="B112" s="52"/>
      <c r="C112" s="53"/>
      <c r="D112" s="52" t="s">
        <v>538</v>
      </c>
      <c r="E112" s="55">
        <v>317</v>
      </c>
      <c r="F112" s="52" t="s">
        <v>1080</v>
      </c>
      <c r="G112" s="195"/>
      <c r="H112" s="80" t="s">
        <v>604</v>
      </c>
      <c r="I112" s="196">
        <v>4</v>
      </c>
      <c r="J112" s="190" t="s">
        <v>329</v>
      </c>
      <c r="K112" s="196">
        <v>0</v>
      </c>
      <c r="L112" s="189" t="s">
        <v>1025</v>
      </c>
      <c r="M112" s="194"/>
      <c r="N112" s="37"/>
      <c r="O112" s="37"/>
      <c r="P112" s="1"/>
      <c r="Q112" s="1"/>
    </row>
    <row r="113" spans="1:17" x14ac:dyDescent="0.2">
      <c r="A113" s="1">
        <v>7</v>
      </c>
      <c r="B113" s="52"/>
      <c r="C113" s="53"/>
      <c r="G113" s="191"/>
      <c r="H113" s="219"/>
      <c r="I113" s="191"/>
      <c r="J113" s="220"/>
      <c r="K113" s="191"/>
      <c r="L113" s="191"/>
      <c r="M113" s="194"/>
      <c r="N113" s="37"/>
      <c r="O113" s="37"/>
      <c r="P113" s="1"/>
      <c r="Q113" s="1"/>
    </row>
    <row r="114" spans="1:17" ht="25.5" x14ac:dyDescent="0.2">
      <c r="A114" s="1">
        <v>8</v>
      </c>
      <c r="B114" s="52"/>
      <c r="C114" s="53" t="s">
        <v>10</v>
      </c>
      <c r="D114" s="52"/>
      <c r="E114" s="52"/>
      <c r="F114" s="52"/>
      <c r="G114" s="195">
        <v>296072</v>
      </c>
      <c r="H114" s="80" t="s">
        <v>126</v>
      </c>
      <c r="I114" s="189"/>
      <c r="J114" s="190"/>
      <c r="K114" s="189"/>
      <c r="L114" s="189"/>
      <c r="M114" s="183">
        <f>+M115</f>
        <v>50000000</v>
      </c>
      <c r="N114" s="37"/>
      <c r="O114" s="37"/>
      <c r="P114" s="1"/>
      <c r="Q114" s="1"/>
    </row>
    <row r="115" spans="1:17" x14ac:dyDescent="0.2">
      <c r="A115" s="1">
        <v>9</v>
      </c>
      <c r="B115" s="52"/>
      <c r="C115" s="53"/>
      <c r="D115" s="52"/>
      <c r="E115" s="52"/>
      <c r="F115" s="52"/>
      <c r="G115" s="195"/>
      <c r="H115" s="80" t="s">
        <v>835</v>
      </c>
      <c r="I115" s="189"/>
      <c r="J115" s="190"/>
      <c r="K115" s="189"/>
      <c r="L115" s="189"/>
      <c r="M115" s="183">
        <f>30000000+20000000</f>
        <v>50000000</v>
      </c>
      <c r="N115" s="37"/>
      <c r="O115" s="37"/>
      <c r="P115" s="1"/>
      <c r="Q115" s="1"/>
    </row>
    <row r="116" spans="1:17" ht="38.25" x14ac:dyDescent="0.2">
      <c r="A116" s="1">
        <v>8</v>
      </c>
      <c r="B116" s="52"/>
      <c r="C116" s="53" t="s">
        <v>10</v>
      </c>
      <c r="D116" s="52"/>
      <c r="E116" s="52"/>
      <c r="F116" s="52"/>
      <c r="G116" s="195">
        <v>296073</v>
      </c>
      <c r="H116" s="80" t="s">
        <v>929</v>
      </c>
      <c r="I116" s="189"/>
      <c r="J116" s="190"/>
      <c r="K116" s="189"/>
      <c r="L116" s="189"/>
      <c r="M116" s="183">
        <f>+M117</f>
        <v>25000000</v>
      </c>
      <c r="N116" s="37"/>
      <c r="O116" s="37"/>
      <c r="P116" s="1"/>
      <c r="Q116" s="1"/>
    </row>
    <row r="117" spans="1:17" x14ac:dyDescent="0.2">
      <c r="A117" s="1">
        <v>9</v>
      </c>
      <c r="B117" s="52"/>
      <c r="C117" s="53"/>
      <c r="D117" s="52"/>
      <c r="E117" s="52"/>
      <c r="F117" s="52"/>
      <c r="G117" s="195"/>
      <c r="H117" s="80" t="s">
        <v>835</v>
      </c>
      <c r="I117" s="189"/>
      <c r="J117" s="190"/>
      <c r="K117" s="189"/>
      <c r="L117" s="189"/>
      <c r="M117" s="183">
        <v>25000000</v>
      </c>
      <c r="N117" s="37"/>
      <c r="O117" s="37"/>
      <c r="P117" s="1"/>
      <c r="Q117" s="1"/>
    </row>
    <row r="118" spans="1:17" ht="38.25" x14ac:dyDescent="0.2">
      <c r="A118" s="1">
        <v>8</v>
      </c>
      <c r="B118" s="52"/>
      <c r="C118" s="53" t="s">
        <v>10</v>
      </c>
      <c r="D118" s="52"/>
      <c r="E118" s="52"/>
      <c r="F118" s="52"/>
      <c r="G118" s="195">
        <v>296030</v>
      </c>
      <c r="H118" s="80" t="s">
        <v>742</v>
      </c>
      <c r="I118" s="189"/>
      <c r="J118" s="190"/>
      <c r="K118" s="189"/>
      <c r="L118" s="189"/>
      <c r="M118" s="183">
        <f>+M119</f>
        <v>18917500</v>
      </c>
      <c r="N118" s="37"/>
      <c r="O118" s="37"/>
      <c r="P118" s="1"/>
      <c r="Q118" s="1"/>
    </row>
    <row r="119" spans="1:17" x14ac:dyDescent="0.2">
      <c r="A119" s="1">
        <v>9</v>
      </c>
      <c r="B119" s="52"/>
      <c r="C119" s="53"/>
      <c r="D119" s="52"/>
      <c r="E119" s="52"/>
      <c r="F119" s="52"/>
      <c r="G119" s="195"/>
      <c r="H119" s="80" t="s">
        <v>776</v>
      </c>
      <c r="I119" s="189"/>
      <c r="J119" s="190"/>
      <c r="K119" s="189"/>
      <c r="L119" s="189"/>
      <c r="M119" s="183">
        <v>18917500</v>
      </c>
      <c r="N119" s="37"/>
      <c r="O119" s="37"/>
      <c r="P119" s="1"/>
      <c r="Q119" s="1"/>
    </row>
    <row r="120" spans="1:17" x14ac:dyDescent="0.2">
      <c r="A120" s="1"/>
      <c r="B120" s="52"/>
      <c r="C120" s="53"/>
      <c r="D120" s="52"/>
      <c r="E120" s="52"/>
      <c r="F120" s="52"/>
      <c r="G120" s="195"/>
      <c r="H120" s="80"/>
      <c r="I120" s="189"/>
      <c r="J120" s="190"/>
      <c r="K120" s="189"/>
      <c r="L120" s="189"/>
      <c r="M120" s="183"/>
      <c r="N120" s="37"/>
      <c r="O120" s="37"/>
      <c r="P120" s="1"/>
      <c r="Q120" s="1"/>
    </row>
    <row r="121" spans="1:17" x14ac:dyDescent="0.2">
      <c r="A121" s="1">
        <v>4</v>
      </c>
      <c r="B121" s="52" t="s">
        <v>472</v>
      </c>
      <c r="C121" s="53"/>
      <c r="D121" s="52"/>
      <c r="E121" s="52"/>
      <c r="F121" s="52"/>
      <c r="G121" s="195"/>
      <c r="H121" s="173" t="s">
        <v>1012</v>
      </c>
      <c r="I121" s="189"/>
      <c r="J121" s="190"/>
      <c r="K121" s="189"/>
      <c r="L121" s="189"/>
      <c r="M121" s="91">
        <f>+M123+M127+M131</f>
        <v>469154000</v>
      </c>
      <c r="N121" s="37"/>
      <c r="O121" s="37"/>
      <c r="P121" s="1"/>
      <c r="Q121" s="1"/>
    </row>
    <row r="122" spans="1:17" ht="25.5" x14ac:dyDescent="0.2">
      <c r="A122" s="1">
        <v>5</v>
      </c>
      <c r="B122" s="52"/>
      <c r="C122" s="53"/>
      <c r="D122" s="52"/>
      <c r="E122" s="55">
        <v>201</v>
      </c>
      <c r="F122" s="52" t="s">
        <v>268</v>
      </c>
      <c r="G122" s="195"/>
      <c r="H122" s="80" t="s">
        <v>389</v>
      </c>
      <c r="I122" s="196">
        <v>45000</v>
      </c>
      <c r="J122" s="190" t="s">
        <v>524</v>
      </c>
      <c r="K122" s="196"/>
      <c r="L122" s="189"/>
      <c r="M122" s="194"/>
      <c r="N122" s="37"/>
      <c r="O122" s="37"/>
      <c r="P122" s="1"/>
      <c r="Q122" s="1"/>
    </row>
    <row r="123" spans="1:17" x14ac:dyDescent="0.2">
      <c r="A123" s="1">
        <v>6</v>
      </c>
      <c r="B123" s="52" t="s">
        <v>955</v>
      </c>
      <c r="C123" s="53"/>
      <c r="D123" s="52"/>
      <c r="E123" s="52"/>
      <c r="F123" s="52"/>
      <c r="G123" s="195"/>
      <c r="H123" s="173" t="s">
        <v>380</v>
      </c>
      <c r="I123" s="189"/>
      <c r="J123" s="190"/>
      <c r="K123" s="189"/>
      <c r="L123" s="189"/>
      <c r="M123" s="91">
        <f>+M125</f>
        <v>15134000</v>
      </c>
      <c r="N123" s="37"/>
      <c r="O123" s="37"/>
      <c r="P123" s="1"/>
      <c r="Q123" s="1"/>
    </row>
    <row r="124" spans="1:17" ht="38.25" x14ac:dyDescent="0.2">
      <c r="A124" s="1">
        <v>7</v>
      </c>
      <c r="B124" s="52"/>
      <c r="C124" s="53"/>
      <c r="D124" s="52" t="s">
        <v>521</v>
      </c>
      <c r="E124" s="55">
        <v>225</v>
      </c>
      <c r="F124" s="52" t="s">
        <v>1080</v>
      </c>
      <c r="G124" s="195"/>
      <c r="H124" s="80" t="s">
        <v>19</v>
      </c>
      <c r="I124" s="196">
        <v>5</v>
      </c>
      <c r="J124" s="190" t="s">
        <v>449</v>
      </c>
      <c r="K124" s="196">
        <v>2</v>
      </c>
      <c r="L124" s="189" t="s">
        <v>1025</v>
      </c>
      <c r="M124" s="194"/>
      <c r="N124" s="37"/>
      <c r="O124" s="37"/>
      <c r="P124" s="1"/>
      <c r="Q124" s="1"/>
    </row>
    <row r="125" spans="1:17" ht="38.25" x14ac:dyDescent="0.2">
      <c r="A125" s="1">
        <v>8</v>
      </c>
      <c r="B125" s="52"/>
      <c r="C125" s="53" t="s">
        <v>10</v>
      </c>
      <c r="D125" s="52"/>
      <c r="E125" s="52"/>
      <c r="F125" s="52"/>
      <c r="G125" s="195">
        <v>296030</v>
      </c>
      <c r="H125" s="80" t="s">
        <v>742</v>
      </c>
      <c r="I125" s="189"/>
      <c r="J125" s="190"/>
      <c r="K125" s="189"/>
      <c r="L125" s="189"/>
      <c r="M125" s="183">
        <f>+M126</f>
        <v>15134000</v>
      </c>
      <c r="N125" s="37"/>
      <c r="O125" s="37"/>
      <c r="P125" s="1"/>
      <c r="Q125" s="1"/>
    </row>
    <row r="126" spans="1:17" x14ac:dyDescent="0.2">
      <c r="A126" s="1">
        <v>9</v>
      </c>
      <c r="B126" s="52"/>
      <c r="C126" s="53"/>
      <c r="D126" s="52"/>
      <c r="E126" s="52"/>
      <c r="F126" s="52"/>
      <c r="G126" s="195"/>
      <c r="H126" s="80" t="s">
        <v>776</v>
      </c>
      <c r="I126" s="189"/>
      <c r="J126" s="190"/>
      <c r="K126" s="189"/>
      <c r="L126" s="189"/>
      <c r="M126" s="183">
        <v>15134000</v>
      </c>
      <c r="N126" s="37"/>
      <c r="O126" s="37"/>
      <c r="P126" s="1"/>
      <c r="Q126" s="1"/>
    </row>
    <row r="127" spans="1:17" ht="25.5" x14ac:dyDescent="0.2">
      <c r="A127" s="1">
        <v>6</v>
      </c>
      <c r="B127" s="52" t="s">
        <v>285</v>
      </c>
      <c r="C127" s="53"/>
      <c r="D127" s="52"/>
      <c r="E127" s="52"/>
      <c r="F127" s="52"/>
      <c r="G127" s="195"/>
      <c r="H127" s="173" t="s">
        <v>418</v>
      </c>
      <c r="I127" s="189"/>
      <c r="J127" s="190"/>
      <c r="K127" s="189"/>
      <c r="L127" s="189"/>
      <c r="M127" s="91">
        <f>+M129</f>
        <v>15134000</v>
      </c>
      <c r="N127" s="37"/>
      <c r="O127" s="37"/>
      <c r="P127" s="1"/>
      <c r="Q127" s="1"/>
    </row>
    <row r="128" spans="1:17" ht="25.5" x14ac:dyDescent="0.2">
      <c r="A128" s="1">
        <v>7</v>
      </c>
      <c r="B128" s="52"/>
      <c r="C128" s="53"/>
      <c r="D128" s="52" t="s">
        <v>521</v>
      </c>
      <c r="E128" s="55">
        <v>232</v>
      </c>
      <c r="F128" s="52" t="s">
        <v>1080</v>
      </c>
      <c r="G128" s="195"/>
      <c r="H128" s="80" t="s">
        <v>771</v>
      </c>
      <c r="I128" s="196">
        <v>5</v>
      </c>
      <c r="J128" s="190" t="s">
        <v>449</v>
      </c>
      <c r="K128" s="196">
        <v>0</v>
      </c>
      <c r="L128" s="189" t="s">
        <v>1025</v>
      </c>
      <c r="M128" s="194"/>
      <c r="N128" s="37"/>
      <c r="O128" s="37"/>
      <c r="P128" s="1"/>
      <c r="Q128" s="1"/>
    </row>
    <row r="129" spans="1:23" ht="38.25" x14ac:dyDescent="0.2">
      <c r="A129" s="1">
        <v>8</v>
      </c>
      <c r="B129" s="52"/>
      <c r="C129" s="53" t="s">
        <v>10</v>
      </c>
      <c r="D129" s="52"/>
      <c r="E129" s="52"/>
      <c r="F129" s="52"/>
      <c r="G129" s="195">
        <v>296030</v>
      </c>
      <c r="H129" s="80" t="s">
        <v>742</v>
      </c>
      <c r="I129" s="189"/>
      <c r="J129" s="190"/>
      <c r="K129" s="189"/>
      <c r="L129" s="189"/>
      <c r="M129" s="183">
        <f>+M130</f>
        <v>15134000</v>
      </c>
      <c r="N129" s="37"/>
      <c r="O129" s="37"/>
      <c r="P129" s="1"/>
      <c r="Q129" s="1"/>
    </row>
    <row r="130" spans="1:23" x14ac:dyDescent="0.2">
      <c r="A130" s="1">
        <v>9</v>
      </c>
      <c r="B130" s="52"/>
      <c r="C130" s="53"/>
      <c r="D130" s="52"/>
      <c r="E130" s="52"/>
      <c r="F130" s="52"/>
      <c r="G130" s="195"/>
      <c r="H130" s="80" t="s">
        <v>776</v>
      </c>
      <c r="I130" s="189"/>
      <c r="J130" s="190"/>
      <c r="K130" s="189"/>
      <c r="L130" s="189"/>
      <c r="M130" s="183">
        <v>15134000</v>
      </c>
      <c r="N130" s="37"/>
      <c r="O130" s="37"/>
      <c r="P130" s="1"/>
      <c r="Q130" s="1"/>
    </row>
    <row r="131" spans="1:23" x14ac:dyDescent="0.2">
      <c r="A131" s="1">
        <v>6</v>
      </c>
      <c r="B131" s="52" t="s">
        <v>885</v>
      </c>
      <c r="C131" s="53"/>
      <c r="D131" s="52"/>
      <c r="E131" s="52"/>
      <c r="F131" s="52"/>
      <c r="G131" s="195"/>
      <c r="H131" s="173" t="s">
        <v>263</v>
      </c>
      <c r="I131" s="189"/>
      <c r="J131" s="190"/>
      <c r="K131" s="189"/>
      <c r="L131" s="189"/>
      <c r="M131" s="91">
        <f>+M133+M135</f>
        <v>438886000</v>
      </c>
      <c r="N131" s="37"/>
      <c r="O131" s="37"/>
      <c r="P131" s="1"/>
      <c r="Q131" s="1"/>
    </row>
    <row r="132" spans="1:23" ht="25.5" x14ac:dyDescent="0.2">
      <c r="A132" s="1">
        <v>7</v>
      </c>
      <c r="B132" s="52"/>
      <c r="C132" s="53"/>
      <c r="D132" s="52" t="s">
        <v>521</v>
      </c>
      <c r="E132" s="55">
        <v>241</v>
      </c>
      <c r="F132" s="52" t="s">
        <v>1080</v>
      </c>
      <c r="G132" s="195"/>
      <c r="H132" s="80" t="s">
        <v>445</v>
      </c>
      <c r="I132" s="196">
        <v>90</v>
      </c>
      <c r="J132" s="190" t="s">
        <v>449</v>
      </c>
      <c r="K132" s="196">
        <v>90</v>
      </c>
      <c r="L132" s="189" t="s">
        <v>1451</v>
      </c>
      <c r="M132" s="194"/>
      <c r="N132" s="37"/>
      <c r="O132" s="37"/>
      <c r="P132" s="1"/>
      <c r="Q132" s="1"/>
    </row>
    <row r="133" spans="1:23" ht="38.25" x14ac:dyDescent="0.2">
      <c r="A133" s="1">
        <v>8</v>
      </c>
      <c r="B133" s="52"/>
      <c r="C133" s="53" t="s">
        <v>10</v>
      </c>
      <c r="D133" s="52"/>
      <c r="E133" s="52"/>
      <c r="F133" s="52"/>
      <c r="G133" s="195">
        <v>296030</v>
      </c>
      <c r="H133" s="80" t="s">
        <v>742</v>
      </c>
      <c r="I133" s="189"/>
      <c r="J133" s="190"/>
      <c r="K133" s="189"/>
      <c r="L133" s="189"/>
      <c r="M133" s="183">
        <f>+M134</f>
        <v>88886000</v>
      </c>
      <c r="N133" s="37"/>
      <c r="O133" s="37"/>
      <c r="P133" s="1"/>
      <c r="Q133" s="1"/>
    </row>
    <row r="134" spans="1:23" x14ac:dyDescent="0.2">
      <c r="A134" s="1">
        <v>9</v>
      </c>
      <c r="B134" s="52"/>
      <c r="C134" s="53"/>
      <c r="D134" s="52"/>
      <c r="E134" s="52"/>
      <c r="F134" s="52"/>
      <c r="G134" s="195"/>
      <c r="H134" s="80" t="s">
        <v>776</v>
      </c>
      <c r="I134" s="189"/>
      <c r="J134" s="190"/>
      <c r="K134" s="189"/>
      <c r="L134" s="189"/>
      <c r="M134" s="183">
        <v>88886000</v>
      </c>
      <c r="N134" s="37"/>
      <c r="O134" s="37"/>
      <c r="P134" s="1"/>
      <c r="Q134" s="1"/>
    </row>
    <row r="135" spans="1:23" ht="38.25" x14ac:dyDescent="0.2">
      <c r="A135" s="1">
        <v>8</v>
      </c>
      <c r="B135" s="52"/>
      <c r="C135" s="53" t="s">
        <v>10</v>
      </c>
      <c r="D135" s="52"/>
      <c r="E135" s="52"/>
      <c r="F135" s="52"/>
      <c r="G135" s="195">
        <v>296031</v>
      </c>
      <c r="H135" s="80" t="s">
        <v>266</v>
      </c>
      <c r="I135" s="189"/>
      <c r="J135" s="190"/>
      <c r="K135" s="189"/>
      <c r="L135" s="189"/>
      <c r="M135" s="183">
        <f>+M136</f>
        <v>350000000</v>
      </c>
      <c r="N135" s="37"/>
      <c r="O135" s="37"/>
      <c r="P135" s="1"/>
      <c r="Q135" s="1"/>
    </row>
    <row r="136" spans="1:23" x14ac:dyDescent="0.2">
      <c r="A136" s="1">
        <v>9</v>
      </c>
      <c r="B136" s="52"/>
      <c r="C136" s="53"/>
      <c r="D136" s="52"/>
      <c r="E136" s="52"/>
      <c r="F136" s="52"/>
      <c r="G136" s="195"/>
      <c r="H136" s="80" t="s">
        <v>776</v>
      </c>
      <c r="I136" s="189"/>
      <c r="J136" s="190"/>
      <c r="K136" s="189"/>
      <c r="L136" s="189"/>
      <c r="M136" s="183">
        <v>350000000</v>
      </c>
      <c r="N136" s="37"/>
      <c r="O136" s="37"/>
      <c r="P136" s="1"/>
      <c r="Q136" s="1"/>
    </row>
    <row r="137" spans="1:23" x14ac:dyDescent="0.2">
      <c r="A137" s="1"/>
      <c r="B137" s="52"/>
      <c r="C137" s="53"/>
      <c r="D137" s="52"/>
      <c r="E137" s="52"/>
      <c r="F137" s="52"/>
      <c r="G137" s="195"/>
      <c r="H137" s="80"/>
      <c r="I137" s="189"/>
      <c r="J137" s="190"/>
      <c r="K137" s="189"/>
      <c r="L137" s="189"/>
      <c r="M137" s="183"/>
      <c r="N137" s="37"/>
      <c r="O137" s="37"/>
      <c r="P137" s="1"/>
      <c r="Q137" s="1"/>
    </row>
    <row r="138" spans="1:23" ht="25.5" x14ac:dyDescent="0.2">
      <c r="A138" s="1">
        <v>4</v>
      </c>
      <c r="B138" s="52" t="s">
        <v>114</v>
      </c>
      <c r="C138" s="53"/>
      <c r="D138" s="52"/>
      <c r="E138" s="52"/>
      <c r="F138" s="52"/>
      <c r="G138" s="195"/>
      <c r="H138" s="173" t="s">
        <v>457</v>
      </c>
      <c r="I138" s="189"/>
      <c r="J138" s="190"/>
      <c r="K138" s="189"/>
      <c r="L138" s="189"/>
      <c r="M138" s="91">
        <f>+M140</f>
        <v>1678092175</v>
      </c>
      <c r="N138" s="37"/>
      <c r="O138" s="37"/>
      <c r="P138" s="1"/>
      <c r="Q138" s="1"/>
    </row>
    <row r="139" spans="1:23" ht="25.5" x14ac:dyDescent="0.2">
      <c r="A139" s="1">
        <v>5</v>
      </c>
      <c r="B139" s="52"/>
      <c r="C139" s="53"/>
      <c r="D139" s="52"/>
      <c r="E139" s="55">
        <v>257</v>
      </c>
      <c r="F139" s="52" t="s">
        <v>268</v>
      </c>
      <c r="G139" s="195"/>
      <c r="H139" s="80" t="s">
        <v>155</v>
      </c>
      <c r="I139" s="196">
        <v>116</v>
      </c>
      <c r="J139" s="190" t="s">
        <v>286</v>
      </c>
      <c r="K139" s="196"/>
      <c r="L139" s="189" t="s">
        <v>1167</v>
      </c>
      <c r="M139" s="194"/>
      <c r="N139" s="37"/>
      <c r="O139" s="37"/>
      <c r="P139" s="1"/>
      <c r="Q139" s="1"/>
    </row>
    <row r="140" spans="1:23" x14ac:dyDescent="0.2">
      <c r="A140" s="1">
        <v>6</v>
      </c>
      <c r="B140" s="52" t="s">
        <v>857</v>
      </c>
      <c r="C140" s="53"/>
      <c r="D140" s="52"/>
      <c r="E140" s="52"/>
      <c r="F140" s="52"/>
      <c r="G140" s="195"/>
      <c r="H140" s="173" t="s">
        <v>288</v>
      </c>
      <c r="I140" s="189"/>
      <c r="J140" s="190"/>
      <c r="K140" s="189"/>
      <c r="L140" s="189"/>
      <c r="M140" s="91">
        <f>+M142+M144</f>
        <v>1678092175</v>
      </c>
      <c r="N140" s="37"/>
      <c r="O140" s="37"/>
      <c r="P140" s="1"/>
      <c r="Q140" s="1"/>
    </row>
    <row r="141" spans="1:23" ht="25.5" x14ac:dyDescent="0.2">
      <c r="A141" s="1">
        <v>7</v>
      </c>
      <c r="B141" s="52"/>
      <c r="C141" s="53"/>
      <c r="D141" s="52" t="s">
        <v>407</v>
      </c>
      <c r="E141" s="55">
        <v>264</v>
      </c>
      <c r="F141" s="52" t="s">
        <v>1080</v>
      </c>
      <c r="G141" s="195"/>
      <c r="H141" s="80" t="s">
        <v>914</v>
      </c>
      <c r="I141" s="196">
        <v>8</v>
      </c>
      <c r="J141" s="190" t="s">
        <v>846</v>
      </c>
      <c r="K141" s="196">
        <v>9</v>
      </c>
      <c r="L141" s="189" t="s">
        <v>1025</v>
      </c>
      <c r="M141" s="194"/>
      <c r="N141" s="37"/>
      <c r="O141" s="37"/>
      <c r="P141" s="1"/>
      <c r="Q141" s="1"/>
    </row>
    <row r="142" spans="1:23" ht="51" x14ac:dyDescent="0.2">
      <c r="A142" s="1">
        <v>8</v>
      </c>
      <c r="B142" s="52"/>
      <c r="C142" s="53" t="s">
        <v>1159</v>
      </c>
      <c r="D142" s="52"/>
      <c r="E142" s="52"/>
      <c r="F142" s="52"/>
      <c r="G142" s="195">
        <v>296088</v>
      </c>
      <c r="H142" s="80" t="s">
        <v>1265</v>
      </c>
      <c r="I142" s="189"/>
      <c r="J142" s="190"/>
      <c r="K142" s="189"/>
      <c r="L142" s="189"/>
      <c r="M142" s="183">
        <f>+M143</f>
        <v>273795175</v>
      </c>
      <c r="N142" s="37"/>
      <c r="O142" s="37"/>
      <c r="P142" s="1"/>
      <c r="Q142" s="1"/>
    </row>
    <row r="143" spans="1:23" x14ac:dyDescent="0.2">
      <c r="A143" s="1">
        <v>9</v>
      </c>
      <c r="B143" s="52"/>
      <c r="C143" s="53"/>
      <c r="D143" s="52"/>
      <c r="E143" s="52"/>
      <c r="F143" s="52"/>
      <c r="G143" s="195"/>
      <c r="H143" s="221" t="s">
        <v>1521</v>
      </c>
      <c r="I143" s="189"/>
      <c r="J143" s="190"/>
      <c r="K143" s="189"/>
      <c r="L143" s="189"/>
      <c r="M143" s="183">
        <v>273795175</v>
      </c>
      <c r="N143" s="37"/>
      <c r="O143" s="37"/>
      <c r="P143" s="37"/>
      <c r="Q143" s="37"/>
      <c r="R143" s="32"/>
      <c r="S143" s="32"/>
      <c r="T143" s="32"/>
      <c r="U143" s="32"/>
      <c r="V143" s="32"/>
      <c r="W143" s="32"/>
    </row>
    <row r="144" spans="1:23" s="32" customFormat="1" ht="38.25" x14ac:dyDescent="0.2">
      <c r="A144" s="37"/>
      <c r="B144" s="52"/>
      <c r="C144" s="53" t="s">
        <v>10</v>
      </c>
      <c r="D144" s="52"/>
      <c r="E144" s="52"/>
      <c r="F144" s="52"/>
      <c r="G144" s="195">
        <v>296088</v>
      </c>
      <c r="H144" s="80" t="s">
        <v>13</v>
      </c>
      <c r="I144" s="189"/>
      <c r="J144" s="190"/>
      <c r="K144" s="189"/>
      <c r="L144" s="189"/>
      <c r="M144" s="183">
        <f>+M145</f>
        <v>1404297000</v>
      </c>
      <c r="N144" s="37"/>
      <c r="O144" s="37"/>
      <c r="P144" s="37"/>
      <c r="Q144" s="37"/>
    </row>
    <row r="145" spans="1:23" x14ac:dyDescent="0.2">
      <c r="A145" s="1"/>
      <c r="B145" s="52"/>
      <c r="C145" s="53"/>
      <c r="D145" s="52"/>
      <c r="E145" s="52"/>
      <c r="F145" s="52"/>
      <c r="G145" s="195"/>
      <c r="H145" s="80" t="s">
        <v>1522</v>
      </c>
      <c r="I145" s="189"/>
      <c r="J145" s="190"/>
      <c r="K145" s="189"/>
      <c r="L145" s="189"/>
      <c r="M145" s="183">
        <v>1404297000</v>
      </c>
      <c r="N145" s="37"/>
      <c r="O145" s="37"/>
      <c r="P145" s="37"/>
      <c r="Q145" s="37"/>
      <c r="R145" s="32"/>
      <c r="S145" s="32"/>
      <c r="T145" s="32"/>
      <c r="U145" s="32"/>
      <c r="V145" s="32"/>
      <c r="W145" s="32"/>
    </row>
    <row r="146" spans="1:23" x14ac:dyDescent="0.2">
      <c r="A146" s="1"/>
      <c r="B146" s="52"/>
      <c r="C146" s="53"/>
      <c r="D146" s="52"/>
      <c r="E146" s="52"/>
      <c r="F146" s="52"/>
      <c r="G146" s="195"/>
      <c r="H146" s="80"/>
      <c r="I146" s="189"/>
      <c r="J146" s="190"/>
      <c r="K146" s="189"/>
      <c r="L146" s="189"/>
      <c r="M146" s="183"/>
      <c r="N146" s="37"/>
      <c r="O146" s="37"/>
      <c r="P146" s="1"/>
      <c r="Q146" s="1"/>
    </row>
    <row r="147" spans="1:23" ht="25.5" x14ac:dyDescent="0.2">
      <c r="A147" s="1">
        <v>3</v>
      </c>
      <c r="B147" s="52" t="s">
        <v>422</v>
      </c>
      <c r="C147" s="53"/>
      <c r="D147" s="52"/>
      <c r="E147" s="52"/>
      <c r="F147" s="52"/>
      <c r="G147" s="195"/>
      <c r="H147" s="173" t="s">
        <v>381</v>
      </c>
      <c r="I147" s="189"/>
      <c r="J147" s="190"/>
      <c r="K147" s="189"/>
      <c r="L147" s="189"/>
      <c r="M147" s="91">
        <f>+M148</f>
        <v>2272000000</v>
      </c>
      <c r="N147" s="37"/>
      <c r="O147" s="37"/>
      <c r="P147" s="1"/>
      <c r="Q147" s="1"/>
    </row>
    <row r="148" spans="1:23" x14ac:dyDescent="0.2">
      <c r="A148" s="1">
        <v>4</v>
      </c>
      <c r="B148" s="52" t="s">
        <v>450</v>
      </c>
      <c r="C148" s="53"/>
      <c r="D148" s="52"/>
      <c r="E148" s="52"/>
      <c r="F148" s="52"/>
      <c r="G148" s="195"/>
      <c r="H148" s="173" t="s">
        <v>176</v>
      </c>
      <c r="I148" s="189"/>
      <c r="J148" s="190"/>
      <c r="K148" s="189"/>
      <c r="L148" s="189"/>
      <c r="M148" s="91">
        <f>+M150+M161</f>
        <v>2272000000</v>
      </c>
      <c r="N148" s="37"/>
      <c r="O148" s="37"/>
      <c r="P148" s="1"/>
      <c r="Q148" s="1"/>
    </row>
    <row r="149" spans="1:23" x14ac:dyDescent="0.2">
      <c r="A149" s="1">
        <v>5</v>
      </c>
      <c r="B149" s="52"/>
      <c r="C149" s="53"/>
      <c r="D149" s="52"/>
      <c r="E149" s="55">
        <v>486</v>
      </c>
      <c r="F149" s="52" t="s">
        <v>268</v>
      </c>
      <c r="G149" s="195"/>
      <c r="H149" s="80" t="s">
        <v>858</v>
      </c>
      <c r="I149" s="196">
        <v>4</v>
      </c>
      <c r="J149" s="190" t="s">
        <v>1030</v>
      </c>
      <c r="K149" s="196"/>
      <c r="L149" s="189"/>
      <c r="M149" s="194"/>
      <c r="N149" s="37"/>
      <c r="O149" s="37"/>
      <c r="P149" s="1"/>
      <c r="Q149" s="1"/>
    </row>
    <row r="150" spans="1:23" x14ac:dyDescent="0.2">
      <c r="A150" s="1">
        <v>6</v>
      </c>
      <c r="B150" s="52" t="s">
        <v>857</v>
      </c>
      <c r="C150" s="53"/>
      <c r="D150" s="52"/>
      <c r="E150" s="52"/>
      <c r="F150" s="52"/>
      <c r="G150" s="195"/>
      <c r="H150" s="173" t="s">
        <v>608</v>
      </c>
      <c r="I150" s="189"/>
      <c r="J150" s="190"/>
      <c r="K150" s="189"/>
      <c r="L150" s="189"/>
      <c r="M150" s="91">
        <f>+M159</f>
        <v>872000000</v>
      </c>
      <c r="N150" s="37"/>
      <c r="O150" s="37"/>
      <c r="P150" s="1"/>
      <c r="Q150" s="1"/>
    </row>
    <row r="151" spans="1:23" ht="25.5" x14ac:dyDescent="0.2">
      <c r="A151" s="1"/>
      <c r="B151" s="52"/>
      <c r="C151" s="53"/>
      <c r="D151" s="52" t="s">
        <v>1019</v>
      </c>
      <c r="E151" s="55">
        <v>487</v>
      </c>
      <c r="F151" s="52" t="s">
        <v>1080</v>
      </c>
      <c r="G151" s="195"/>
      <c r="H151" s="80" t="s">
        <v>520</v>
      </c>
      <c r="I151" s="196">
        <v>40</v>
      </c>
      <c r="J151" s="190" t="s">
        <v>816</v>
      </c>
      <c r="K151" s="196">
        <v>0</v>
      </c>
      <c r="L151" s="189" t="s">
        <v>1195</v>
      </c>
      <c r="M151" s="91"/>
      <c r="N151" s="37"/>
      <c r="O151" s="37"/>
      <c r="P151" s="1"/>
      <c r="Q151" s="1"/>
    </row>
    <row r="152" spans="1:23" ht="38.25" x14ac:dyDescent="0.2">
      <c r="A152" s="1"/>
      <c r="B152" s="52"/>
      <c r="C152" s="53"/>
      <c r="D152" s="52" t="s">
        <v>1019</v>
      </c>
      <c r="E152" s="55">
        <v>488</v>
      </c>
      <c r="F152" s="52" t="s">
        <v>1080</v>
      </c>
      <c r="G152" s="195"/>
      <c r="H152" s="80" t="s">
        <v>427</v>
      </c>
      <c r="I152" s="196">
        <v>1500</v>
      </c>
      <c r="J152" s="190" t="s">
        <v>816</v>
      </c>
      <c r="K152" s="196">
        <v>0</v>
      </c>
      <c r="L152" s="189" t="s">
        <v>1291</v>
      </c>
      <c r="M152" s="91"/>
      <c r="N152" s="37"/>
      <c r="O152" s="37"/>
      <c r="P152" s="1"/>
      <c r="Q152" s="1"/>
    </row>
    <row r="153" spans="1:23" ht="25.5" x14ac:dyDescent="0.2">
      <c r="A153" s="1"/>
      <c r="B153" s="52"/>
      <c r="C153" s="53"/>
      <c r="D153" s="52" t="s">
        <v>1019</v>
      </c>
      <c r="E153" s="55">
        <v>489</v>
      </c>
      <c r="F153" s="52" t="s">
        <v>1080</v>
      </c>
      <c r="G153" s="195"/>
      <c r="H153" s="80" t="s">
        <v>797</v>
      </c>
      <c r="I153" s="196">
        <v>2</v>
      </c>
      <c r="J153" s="190" t="s">
        <v>650</v>
      </c>
      <c r="K153" s="196">
        <v>0</v>
      </c>
      <c r="L153" s="189" t="s">
        <v>301</v>
      </c>
      <c r="M153" s="91"/>
      <c r="N153" s="37"/>
      <c r="O153" s="37"/>
      <c r="P153" s="1"/>
      <c r="Q153" s="1"/>
    </row>
    <row r="154" spans="1:23" ht="38.25" x14ac:dyDescent="0.2">
      <c r="A154" s="1">
        <v>7</v>
      </c>
      <c r="B154" s="52"/>
      <c r="C154" s="53"/>
      <c r="D154" s="52" t="s">
        <v>1019</v>
      </c>
      <c r="E154" s="55">
        <v>490</v>
      </c>
      <c r="F154" s="52" t="s">
        <v>1080</v>
      </c>
      <c r="G154" s="195"/>
      <c r="H154" s="80" t="s">
        <v>551</v>
      </c>
      <c r="I154" s="196">
        <v>13</v>
      </c>
      <c r="J154" s="190" t="s">
        <v>54</v>
      </c>
      <c r="K154" s="196">
        <v>4</v>
      </c>
      <c r="L154" s="189" t="s">
        <v>1180</v>
      </c>
      <c r="M154" s="194"/>
      <c r="N154" s="37"/>
      <c r="O154" s="37"/>
      <c r="P154" s="1"/>
      <c r="Q154" s="1"/>
    </row>
    <row r="155" spans="1:23" ht="25.5" x14ac:dyDescent="0.2">
      <c r="A155" s="1">
        <v>7</v>
      </c>
      <c r="B155" s="52"/>
      <c r="C155" s="53"/>
      <c r="D155" s="52" t="s">
        <v>1019</v>
      </c>
      <c r="E155" s="55">
        <v>491</v>
      </c>
      <c r="F155" s="52" t="s">
        <v>1080</v>
      </c>
      <c r="G155" s="195"/>
      <c r="H155" s="80" t="s">
        <v>296</v>
      </c>
      <c r="I155" s="196">
        <v>4</v>
      </c>
      <c r="J155" s="190" t="s">
        <v>1030</v>
      </c>
      <c r="K155" s="196">
        <v>2</v>
      </c>
      <c r="L155" s="189" t="s">
        <v>1025</v>
      </c>
      <c r="M155" s="194"/>
      <c r="N155" s="37"/>
      <c r="O155" s="37"/>
      <c r="P155" s="1"/>
      <c r="Q155" s="1"/>
    </row>
    <row r="156" spans="1:23" x14ac:dyDescent="0.2">
      <c r="A156" s="1">
        <v>7</v>
      </c>
      <c r="B156" s="52"/>
      <c r="C156" s="53"/>
      <c r="D156" s="52" t="s">
        <v>1019</v>
      </c>
      <c r="E156" s="55">
        <v>492</v>
      </c>
      <c r="F156" s="52" t="s">
        <v>1080</v>
      </c>
      <c r="G156" s="195"/>
      <c r="H156" s="80" t="s">
        <v>214</v>
      </c>
      <c r="I156" s="196">
        <v>22</v>
      </c>
      <c r="J156" s="190" t="s">
        <v>286</v>
      </c>
      <c r="K156" s="196">
        <v>14</v>
      </c>
      <c r="L156" s="189" t="s">
        <v>1443</v>
      </c>
      <c r="M156" s="194"/>
      <c r="N156" s="37"/>
      <c r="O156" s="37"/>
      <c r="P156" s="1"/>
      <c r="Q156" s="1"/>
    </row>
    <row r="157" spans="1:23" ht="38.25" x14ac:dyDescent="0.2">
      <c r="A157" s="1">
        <v>7</v>
      </c>
      <c r="B157" s="52"/>
      <c r="C157" s="53"/>
      <c r="D157" s="52" t="s">
        <v>1019</v>
      </c>
      <c r="E157" s="55">
        <v>493</v>
      </c>
      <c r="F157" s="52" t="s">
        <v>1080</v>
      </c>
      <c r="G157" s="195"/>
      <c r="H157" s="80" t="s">
        <v>544</v>
      </c>
      <c r="I157" s="196">
        <v>1</v>
      </c>
      <c r="J157" s="190" t="s">
        <v>211</v>
      </c>
      <c r="K157" s="196" t="s">
        <v>1297</v>
      </c>
      <c r="L157" s="189" t="s">
        <v>1182</v>
      </c>
      <c r="M157" s="194"/>
      <c r="N157" s="37"/>
      <c r="O157" s="37"/>
      <c r="P157" s="1"/>
      <c r="Q157" s="1"/>
    </row>
    <row r="158" spans="1:23" x14ac:dyDescent="0.2">
      <c r="A158" s="1">
        <v>7</v>
      </c>
      <c r="B158" s="52"/>
      <c r="C158" s="53"/>
      <c r="G158" s="191"/>
      <c r="H158" s="219"/>
      <c r="I158" s="191"/>
      <c r="J158" s="220"/>
      <c r="K158" s="191"/>
      <c r="L158" s="191"/>
      <c r="M158" s="194"/>
      <c r="N158" s="37"/>
      <c r="O158" s="37"/>
      <c r="P158" s="1"/>
      <c r="Q158" s="1"/>
    </row>
    <row r="159" spans="1:23" ht="38.25" x14ac:dyDescent="0.2">
      <c r="A159" s="1">
        <v>8</v>
      </c>
      <c r="B159" s="52"/>
      <c r="C159" s="53" t="s">
        <v>10</v>
      </c>
      <c r="D159" s="52"/>
      <c r="E159" s="52"/>
      <c r="F159" s="52"/>
      <c r="G159" s="195">
        <v>296073</v>
      </c>
      <c r="H159" s="80" t="s">
        <v>929</v>
      </c>
      <c r="I159" s="189"/>
      <c r="J159" s="190"/>
      <c r="K159" s="189"/>
      <c r="L159" s="189"/>
      <c r="M159" s="183">
        <f>+M160</f>
        <v>872000000</v>
      </c>
      <c r="N159" s="37"/>
      <c r="O159" s="37"/>
      <c r="P159" s="1"/>
      <c r="Q159" s="1"/>
    </row>
    <row r="160" spans="1:23" x14ac:dyDescent="0.2">
      <c r="A160" s="1">
        <v>9</v>
      </c>
      <c r="B160" s="52"/>
      <c r="C160" s="53"/>
      <c r="D160" s="52"/>
      <c r="E160" s="52"/>
      <c r="F160" s="52"/>
      <c r="G160" s="195"/>
      <c r="H160" s="80" t="s">
        <v>835</v>
      </c>
      <c r="I160" s="189"/>
      <c r="J160" s="190"/>
      <c r="K160" s="189"/>
      <c r="L160" s="189"/>
      <c r="M160" s="183">
        <f>10000000+200000000+30000000+200000000+1650000000+152000000+150000000-152000000+122000000-490000000-1000000000</f>
        <v>872000000</v>
      </c>
      <c r="N160" s="37"/>
      <c r="O160" s="37"/>
      <c r="P160" s="1"/>
      <c r="Q160" s="1"/>
    </row>
    <row r="161" spans="1:17" x14ac:dyDescent="0.2">
      <c r="A161" s="1">
        <v>6</v>
      </c>
      <c r="B161" s="52" t="s">
        <v>497</v>
      </c>
      <c r="C161" s="53"/>
      <c r="D161" s="52"/>
      <c r="E161" s="52"/>
      <c r="F161" s="52"/>
      <c r="G161" s="195"/>
      <c r="H161" s="173" t="s">
        <v>144</v>
      </c>
      <c r="I161" s="189"/>
      <c r="J161" s="190"/>
      <c r="K161" s="189"/>
      <c r="L161" s="189"/>
      <c r="M161" s="91">
        <f>+M166+M168</f>
        <v>1400000000</v>
      </c>
      <c r="N161" s="37"/>
      <c r="O161" s="37"/>
      <c r="P161" s="1"/>
      <c r="Q161" s="1"/>
    </row>
    <row r="162" spans="1:17" ht="38.25" x14ac:dyDescent="0.2">
      <c r="A162" s="1">
        <v>7</v>
      </c>
      <c r="B162" s="52"/>
      <c r="C162" s="53"/>
      <c r="D162" s="52" t="s">
        <v>1019</v>
      </c>
      <c r="E162" s="55">
        <v>494</v>
      </c>
      <c r="F162" s="52" t="s">
        <v>1080</v>
      </c>
      <c r="G162" s="195"/>
      <c r="H162" s="80" t="s">
        <v>406</v>
      </c>
      <c r="I162" s="196">
        <v>20</v>
      </c>
      <c r="J162" s="190" t="s">
        <v>449</v>
      </c>
      <c r="K162" s="196">
        <v>7</v>
      </c>
      <c r="L162" s="189" t="s">
        <v>1443</v>
      </c>
      <c r="M162" s="194"/>
      <c r="N162" s="37"/>
      <c r="O162" s="37"/>
      <c r="P162" s="1"/>
      <c r="Q162" s="1"/>
    </row>
    <row r="163" spans="1:17" ht="25.5" x14ac:dyDescent="0.2">
      <c r="A163" s="1"/>
      <c r="B163" s="52"/>
      <c r="C163" s="53"/>
      <c r="D163" s="52" t="s">
        <v>1019</v>
      </c>
      <c r="E163" s="55">
        <v>495</v>
      </c>
      <c r="F163" s="52" t="s">
        <v>1080</v>
      </c>
      <c r="G163" s="195"/>
      <c r="H163" s="80" t="s">
        <v>162</v>
      </c>
      <c r="I163" s="196">
        <v>400</v>
      </c>
      <c r="J163" s="190" t="s">
        <v>449</v>
      </c>
      <c r="K163" s="196">
        <v>98</v>
      </c>
      <c r="L163" s="189" t="s">
        <v>1415</v>
      </c>
      <c r="M163" s="194"/>
      <c r="N163" s="37"/>
      <c r="O163" s="37"/>
      <c r="P163" s="1"/>
      <c r="Q163" s="1"/>
    </row>
    <row r="164" spans="1:17" ht="25.5" x14ac:dyDescent="0.2">
      <c r="A164" s="1">
        <v>7</v>
      </c>
      <c r="B164" s="52"/>
      <c r="C164" s="53"/>
      <c r="D164" s="52" t="s">
        <v>1019</v>
      </c>
      <c r="E164" s="55">
        <v>496</v>
      </c>
      <c r="F164" s="52" t="s">
        <v>1080</v>
      </c>
      <c r="G164" s="195"/>
      <c r="H164" s="80" t="s">
        <v>786</v>
      </c>
      <c r="I164" s="196">
        <v>8</v>
      </c>
      <c r="J164" s="190" t="s">
        <v>466</v>
      </c>
      <c r="K164" s="196">
        <v>4</v>
      </c>
      <c r="L164" s="189" t="s">
        <v>422</v>
      </c>
      <c r="M164" s="194"/>
      <c r="N164" s="37"/>
      <c r="O164" s="37"/>
      <c r="P164" s="1"/>
      <c r="Q164" s="1"/>
    </row>
    <row r="165" spans="1:17" x14ac:dyDescent="0.2">
      <c r="A165" s="1">
        <v>7</v>
      </c>
      <c r="B165" s="52"/>
      <c r="C165" s="53"/>
      <c r="G165" s="191"/>
      <c r="H165" s="219"/>
      <c r="I165" s="191"/>
      <c r="J165" s="220"/>
      <c r="K165" s="191"/>
      <c r="L165" s="191"/>
      <c r="M165" s="194"/>
      <c r="N165" s="37"/>
      <c r="O165" s="37"/>
      <c r="P165" s="1"/>
      <c r="Q165" s="1"/>
    </row>
    <row r="166" spans="1:17" ht="25.5" x14ac:dyDescent="0.2">
      <c r="A166" s="1">
        <v>8</v>
      </c>
      <c r="B166" s="52"/>
      <c r="C166" s="53" t="s">
        <v>10</v>
      </c>
      <c r="D166" s="52"/>
      <c r="E166" s="52"/>
      <c r="F166" s="52"/>
      <c r="G166" s="195">
        <v>296071</v>
      </c>
      <c r="H166" s="80" t="s">
        <v>586</v>
      </c>
      <c r="I166" s="189"/>
      <c r="J166" s="190"/>
      <c r="K166" s="189"/>
      <c r="L166" s="189"/>
      <c r="M166" s="183">
        <f>+M167</f>
        <v>600000000</v>
      </c>
      <c r="N166" s="37"/>
      <c r="O166" s="37"/>
      <c r="P166" s="1"/>
      <c r="Q166" s="1"/>
    </row>
    <row r="167" spans="1:17" x14ac:dyDescent="0.2">
      <c r="A167" s="1">
        <v>9</v>
      </c>
      <c r="B167" s="52"/>
      <c r="C167" s="53"/>
      <c r="D167" s="52"/>
      <c r="E167" s="52"/>
      <c r="F167" s="52"/>
      <c r="G167" s="195"/>
      <c r="H167" s="80" t="s">
        <v>835</v>
      </c>
      <c r="I167" s="189"/>
      <c r="J167" s="190"/>
      <c r="K167" s="189"/>
      <c r="L167" s="189"/>
      <c r="M167" s="183">
        <f>850000000-100000000-150000000</f>
        <v>600000000</v>
      </c>
      <c r="N167" s="37"/>
      <c r="O167" s="37"/>
      <c r="P167" s="1"/>
      <c r="Q167" s="1"/>
    </row>
    <row r="168" spans="1:17" ht="25.5" x14ac:dyDescent="0.2">
      <c r="A168" s="1">
        <v>8</v>
      </c>
      <c r="B168" s="52"/>
      <c r="C168" s="53" t="s">
        <v>10</v>
      </c>
      <c r="D168" s="52"/>
      <c r="E168" s="52"/>
      <c r="F168" s="52"/>
      <c r="G168" s="195">
        <v>296072</v>
      </c>
      <c r="H168" s="80" t="s">
        <v>126</v>
      </c>
      <c r="I168" s="189"/>
      <c r="J168" s="190"/>
      <c r="K168" s="189"/>
      <c r="L168" s="189"/>
      <c r="M168" s="183">
        <f>+M169</f>
        <v>800000000</v>
      </c>
      <c r="N168" s="37"/>
      <c r="O168" s="37"/>
      <c r="P168" s="1"/>
      <c r="Q168" s="1"/>
    </row>
    <row r="169" spans="1:17" x14ac:dyDescent="0.2">
      <c r="A169" s="1">
        <v>9</v>
      </c>
      <c r="B169" s="52"/>
      <c r="C169" s="53"/>
      <c r="D169" s="52"/>
      <c r="E169" s="52"/>
      <c r="F169" s="52"/>
      <c r="G169" s="195"/>
      <c r="H169" s="80" t="s">
        <v>835</v>
      </c>
      <c r="I169" s="189"/>
      <c r="J169" s="190"/>
      <c r="K169" s="189"/>
      <c r="L169" s="189"/>
      <c r="M169" s="183">
        <f>160000000+160000000+490000000+80000000-90000000</f>
        <v>800000000</v>
      </c>
      <c r="N169" s="37"/>
      <c r="O169" s="37"/>
      <c r="P169" s="1"/>
      <c r="Q169" s="1"/>
    </row>
    <row r="170" spans="1:17" x14ac:dyDescent="0.2">
      <c r="A170" s="1"/>
      <c r="B170" s="52"/>
      <c r="C170" s="53"/>
      <c r="D170" s="52"/>
      <c r="E170" s="52"/>
      <c r="F170" s="52"/>
      <c r="G170" s="195"/>
      <c r="H170" s="80"/>
      <c r="I170" s="189"/>
      <c r="J170" s="190"/>
      <c r="K170" s="189"/>
      <c r="L170" s="189"/>
      <c r="M170" s="183"/>
      <c r="N170" s="37"/>
      <c r="O170" s="37"/>
      <c r="P170" s="1"/>
      <c r="Q170" s="1"/>
    </row>
    <row r="171" spans="1:17" ht="25.5" x14ac:dyDescent="0.2">
      <c r="A171" s="1">
        <v>3</v>
      </c>
      <c r="B171" s="52" t="s">
        <v>841</v>
      </c>
      <c r="C171" s="53"/>
      <c r="D171" s="52"/>
      <c r="E171" s="52"/>
      <c r="F171" s="52"/>
      <c r="G171" s="195"/>
      <c r="H171" s="173" t="s">
        <v>165</v>
      </c>
      <c r="I171" s="189"/>
      <c r="J171" s="190"/>
      <c r="K171" s="189"/>
      <c r="L171" s="189"/>
      <c r="M171" s="91">
        <f>+M172</f>
        <v>1022933225</v>
      </c>
      <c r="N171" s="37"/>
      <c r="O171" s="37"/>
      <c r="P171" s="1"/>
      <c r="Q171" s="1"/>
    </row>
    <row r="172" spans="1:17" x14ac:dyDescent="0.2">
      <c r="A172" s="1">
        <v>4</v>
      </c>
      <c r="B172" s="52" t="s">
        <v>885</v>
      </c>
      <c r="C172" s="53"/>
      <c r="D172" s="52"/>
      <c r="E172" s="52"/>
      <c r="F172" s="52"/>
      <c r="G172" s="195"/>
      <c r="H172" s="173" t="s">
        <v>29</v>
      </c>
      <c r="I172" s="189"/>
      <c r="J172" s="190"/>
      <c r="K172" s="189"/>
      <c r="L172" s="189"/>
      <c r="M172" s="91">
        <f>+M174</f>
        <v>1022933225</v>
      </c>
      <c r="N172" s="37"/>
      <c r="O172" s="37"/>
      <c r="P172" s="1"/>
      <c r="Q172" s="1"/>
    </row>
    <row r="173" spans="1:17" ht="38.25" x14ac:dyDescent="0.2">
      <c r="A173" s="1">
        <v>5</v>
      </c>
      <c r="B173" s="52"/>
      <c r="C173" s="53"/>
      <c r="D173" s="52"/>
      <c r="E173" s="55">
        <v>620</v>
      </c>
      <c r="F173" s="52" t="s">
        <v>268</v>
      </c>
      <c r="G173" s="195"/>
      <c r="H173" s="80" t="s">
        <v>207</v>
      </c>
      <c r="I173" s="196">
        <v>10</v>
      </c>
      <c r="J173" s="190" t="s">
        <v>440</v>
      </c>
      <c r="K173" s="196"/>
      <c r="L173" s="189" t="s">
        <v>422</v>
      </c>
      <c r="M173" s="194"/>
      <c r="N173" s="37"/>
      <c r="O173" s="37"/>
      <c r="P173" s="1"/>
      <c r="Q173" s="1"/>
    </row>
    <row r="174" spans="1:17" ht="25.5" x14ac:dyDescent="0.2">
      <c r="A174" s="1">
        <v>6</v>
      </c>
      <c r="B174" s="52" t="s">
        <v>857</v>
      </c>
      <c r="C174" s="53"/>
      <c r="D174" s="52"/>
      <c r="E174" s="52"/>
      <c r="F174" s="52"/>
      <c r="G174" s="195"/>
      <c r="H174" s="173" t="s">
        <v>92</v>
      </c>
      <c r="I174" s="189"/>
      <c r="J174" s="190"/>
      <c r="K174" s="189"/>
      <c r="L174" s="189"/>
      <c r="M174" s="91">
        <f>+M180+M182+M184</f>
        <v>1022933225</v>
      </c>
      <c r="N174" s="37"/>
      <c r="O174" s="37"/>
      <c r="P174" s="1"/>
      <c r="Q174" s="1"/>
    </row>
    <row r="175" spans="1:17" ht="38.25" x14ac:dyDescent="0.2">
      <c r="A175" s="1">
        <v>7</v>
      </c>
      <c r="B175" s="52"/>
      <c r="C175" s="53"/>
      <c r="D175" s="52" t="s">
        <v>361</v>
      </c>
      <c r="E175" s="55">
        <v>564</v>
      </c>
      <c r="F175" s="52" t="s">
        <v>1080</v>
      </c>
      <c r="G175" s="195"/>
      <c r="H175" s="80" t="s">
        <v>386</v>
      </c>
      <c r="I175" s="196">
        <v>1</v>
      </c>
      <c r="J175" s="190" t="s">
        <v>358</v>
      </c>
      <c r="K175" s="196">
        <v>0</v>
      </c>
      <c r="L175" s="189" t="s">
        <v>1452</v>
      </c>
      <c r="M175" s="194"/>
      <c r="N175" s="37"/>
      <c r="O175" s="37"/>
      <c r="P175" s="1"/>
      <c r="Q175" s="1"/>
    </row>
    <row r="176" spans="1:17" ht="38.25" x14ac:dyDescent="0.2">
      <c r="A176" s="1"/>
      <c r="B176" s="52"/>
      <c r="C176" s="53"/>
      <c r="D176" s="52" t="s">
        <v>361</v>
      </c>
      <c r="E176" s="55">
        <v>565</v>
      </c>
      <c r="F176" s="52" t="s">
        <v>1080</v>
      </c>
      <c r="G176" s="195"/>
      <c r="H176" s="80" t="s">
        <v>762</v>
      </c>
      <c r="I176" s="196">
        <v>12</v>
      </c>
      <c r="J176" s="190" t="s">
        <v>892</v>
      </c>
      <c r="K176" s="196">
        <v>5</v>
      </c>
      <c r="L176" s="189" t="s">
        <v>1137</v>
      </c>
      <c r="M176" s="194"/>
      <c r="N176" s="37"/>
      <c r="O176" s="37"/>
      <c r="P176" s="1"/>
      <c r="Q176" s="1"/>
    </row>
    <row r="177" spans="1:17" ht="51" x14ac:dyDescent="0.2">
      <c r="A177" s="1"/>
      <c r="B177" s="52"/>
      <c r="C177" s="53"/>
      <c r="D177" s="52" t="s">
        <v>361</v>
      </c>
      <c r="E177" s="55">
        <v>566</v>
      </c>
      <c r="F177" s="52" t="s">
        <v>1080</v>
      </c>
      <c r="G177" s="195"/>
      <c r="H177" s="80" t="s">
        <v>383</v>
      </c>
      <c r="I177" s="196">
        <v>24</v>
      </c>
      <c r="J177" s="190" t="s">
        <v>449</v>
      </c>
      <c r="K177" s="196">
        <v>15</v>
      </c>
      <c r="L177" s="189" t="s">
        <v>1180</v>
      </c>
      <c r="M177" s="194"/>
      <c r="N177" s="37"/>
      <c r="O177" s="37"/>
      <c r="P177" s="1"/>
      <c r="Q177" s="1"/>
    </row>
    <row r="178" spans="1:17" ht="38.25" x14ac:dyDescent="0.2">
      <c r="A178" s="1">
        <v>7</v>
      </c>
      <c r="B178" s="52"/>
      <c r="C178" s="53"/>
      <c r="D178" s="52" t="s">
        <v>361</v>
      </c>
      <c r="E178" s="55">
        <v>567</v>
      </c>
      <c r="F178" s="52" t="s">
        <v>1080</v>
      </c>
      <c r="G178" s="195"/>
      <c r="H178" s="80" t="s">
        <v>656</v>
      </c>
      <c r="I178" s="196">
        <v>200</v>
      </c>
      <c r="J178" s="190" t="s">
        <v>816</v>
      </c>
      <c r="K178" s="196">
        <v>150</v>
      </c>
      <c r="L178" s="189" t="s">
        <v>1266</v>
      </c>
      <c r="M178" s="194"/>
      <c r="N178" s="37"/>
      <c r="O178" s="37"/>
      <c r="P178" s="1"/>
      <c r="Q178" s="1"/>
    </row>
    <row r="179" spans="1:17" x14ac:dyDescent="0.2">
      <c r="A179" s="1">
        <v>7</v>
      </c>
      <c r="B179" s="52"/>
      <c r="C179" s="53"/>
      <c r="G179" s="191"/>
      <c r="H179" s="219"/>
      <c r="I179" s="191"/>
      <c r="J179" s="220"/>
      <c r="K179" s="191"/>
      <c r="L179" s="191"/>
      <c r="M179" s="194"/>
      <c r="N179" s="37"/>
      <c r="O179" s="37"/>
      <c r="P179" s="1"/>
      <c r="Q179" s="1"/>
    </row>
    <row r="180" spans="1:17" ht="38.25" x14ac:dyDescent="0.2">
      <c r="A180" s="1">
        <v>8</v>
      </c>
      <c r="B180" s="52"/>
      <c r="C180" s="53" t="s">
        <v>10</v>
      </c>
      <c r="D180" s="52"/>
      <c r="E180" s="52"/>
      <c r="F180" s="52"/>
      <c r="G180" s="195">
        <v>296030</v>
      </c>
      <c r="H180" s="80" t="s">
        <v>742</v>
      </c>
      <c r="I180" s="189"/>
      <c r="J180" s="190"/>
      <c r="K180" s="189"/>
      <c r="L180" s="189"/>
      <c r="M180" s="183">
        <f>+M181</f>
        <v>0</v>
      </c>
      <c r="N180" s="37"/>
      <c r="O180" s="37"/>
      <c r="P180" s="1"/>
      <c r="Q180" s="1"/>
    </row>
    <row r="181" spans="1:17" x14ac:dyDescent="0.2">
      <c r="A181" s="1">
        <v>9</v>
      </c>
      <c r="B181" s="52"/>
      <c r="C181" s="53"/>
      <c r="D181" s="52"/>
      <c r="E181" s="52"/>
      <c r="F181" s="52"/>
      <c r="G181" s="195"/>
      <c r="H181" s="80" t="s">
        <v>776</v>
      </c>
      <c r="I181" s="189"/>
      <c r="J181" s="190"/>
      <c r="K181" s="189"/>
      <c r="L181" s="189"/>
      <c r="M181" s="183"/>
      <c r="N181" s="37"/>
      <c r="O181" s="37"/>
      <c r="P181" s="1"/>
      <c r="Q181" s="1"/>
    </row>
    <row r="182" spans="1:17" ht="51" x14ac:dyDescent="0.2">
      <c r="A182" s="1">
        <v>8</v>
      </c>
      <c r="B182" s="52"/>
      <c r="C182" s="53" t="s">
        <v>1268</v>
      </c>
      <c r="D182" s="52"/>
      <c r="E182" s="52"/>
      <c r="F182" s="52"/>
      <c r="G182" s="195">
        <v>296090</v>
      </c>
      <c r="H182" s="80" t="s">
        <v>1267</v>
      </c>
      <c r="I182" s="189"/>
      <c r="J182" s="190"/>
      <c r="K182" s="189"/>
      <c r="L182" s="189"/>
      <c r="M182" s="183">
        <f>+M183</f>
        <v>419462825</v>
      </c>
      <c r="N182" s="37"/>
      <c r="O182" s="37"/>
      <c r="P182" s="1"/>
      <c r="Q182" s="1"/>
    </row>
    <row r="183" spans="1:17" x14ac:dyDescent="0.2">
      <c r="A183" s="1">
        <v>9</v>
      </c>
      <c r="B183" s="52"/>
      <c r="C183" s="53"/>
      <c r="D183" s="52"/>
      <c r="E183" s="52"/>
      <c r="F183" s="52"/>
      <c r="G183" s="195"/>
      <c r="H183" s="221" t="s">
        <v>1521</v>
      </c>
      <c r="I183" s="189"/>
      <c r="J183" s="190"/>
      <c r="K183" s="189"/>
      <c r="L183" s="189"/>
      <c r="M183" s="183">
        <f>419462662+163</f>
        <v>419462825</v>
      </c>
      <c r="N183" s="37"/>
      <c r="O183" s="37"/>
      <c r="P183" s="37"/>
      <c r="Q183" s="1"/>
    </row>
    <row r="184" spans="1:17" ht="38.25" x14ac:dyDescent="0.2">
      <c r="A184" s="1"/>
      <c r="B184" s="52"/>
      <c r="C184" s="53" t="s">
        <v>1453</v>
      </c>
      <c r="D184" s="52"/>
      <c r="E184" s="52"/>
      <c r="F184" s="52"/>
      <c r="G184" s="195">
        <v>296090</v>
      </c>
      <c r="H184" s="80" t="s">
        <v>1450</v>
      </c>
      <c r="I184" s="189"/>
      <c r="J184" s="190"/>
      <c r="K184" s="189"/>
      <c r="L184" s="189"/>
      <c r="M184" s="183">
        <f>+M185+M186</f>
        <v>603470400</v>
      </c>
      <c r="N184" s="1"/>
      <c r="O184" s="1"/>
      <c r="P184" s="1"/>
      <c r="Q184" s="1"/>
    </row>
    <row r="185" spans="1:17" x14ac:dyDescent="0.2">
      <c r="A185" s="1"/>
      <c r="B185" s="52"/>
      <c r="C185" s="53"/>
      <c r="D185" s="52"/>
      <c r="E185" s="52"/>
      <c r="F185" s="52"/>
      <c r="G185" s="195"/>
      <c r="H185" s="80" t="s">
        <v>1454</v>
      </c>
      <c r="I185" s="189"/>
      <c r="J185" s="190"/>
      <c r="K185" s="189"/>
      <c r="L185" s="189"/>
      <c r="M185" s="183">
        <f>306720000+120000000+92000000</f>
        <v>518720000</v>
      </c>
      <c r="N185" s="1"/>
      <c r="O185" s="1"/>
      <c r="P185" s="1"/>
      <c r="Q185" s="1"/>
    </row>
    <row r="186" spans="1:17" x14ac:dyDescent="0.2">
      <c r="A186" s="1"/>
      <c r="B186" s="52"/>
      <c r="C186" s="53"/>
      <c r="D186" s="52"/>
      <c r="E186" s="52"/>
      <c r="F186" s="52"/>
      <c r="G186" s="195"/>
      <c r="H186" s="80" t="s">
        <v>776</v>
      </c>
      <c r="I186" s="189"/>
      <c r="J186" s="190"/>
      <c r="K186" s="189"/>
      <c r="L186" s="189"/>
      <c r="M186" s="183">
        <f>46915400+37835000</f>
        <v>84750400</v>
      </c>
      <c r="N186" s="1"/>
      <c r="O186" s="1"/>
      <c r="P186" s="1"/>
      <c r="Q186" s="1"/>
    </row>
    <row r="187" spans="1:17" x14ac:dyDescent="0.2">
      <c r="A187" s="1"/>
      <c r="B187" s="52"/>
      <c r="C187" s="53"/>
      <c r="D187" s="52"/>
      <c r="E187" s="52"/>
      <c r="F187" s="52"/>
      <c r="G187" s="195"/>
      <c r="H187" s="80"/>
      <c r="I187" s="189"/>
      <c r="J187" s="190"/>
      <c r="K187" s="189"/>
      <c r="L187" s="189"/>
      <c r="M187" s="183"/>
      <c r="N187" s="1"/>
      <c r="O187" s="1"/>
      <c r="P187" s="1"/>
      <c r="Q187" s="1"/>
    </row>
    <row r="188" spans="1:17" ht="30" x14ac:dyDescent="0.25">
      <c r="A188" s="1">
        <v>10</v>
      </c>
      <c r="B188" s="52"/>
      <c r="C188" s="53"/>
      <c r="D188" s="52"/>
      <c r="E188" s="52"/>
      <c r="F188" s="52"/>
      <c r="G188" s="195"/>
      <c r="H188" s="178" t="s">
        <v>983</v>
      </c>
      <c r="I188" s="208"/>
      <c r="J188" s="207"/>
      <c r="K188" s="208"/>
      <c r="L188" s="208"/>
      <c r="M188" s="202">
        <f>+M171+M147+M10</f>
        <v>7658531000</v>
      </c>
      <c r="N188" s="1"/>
      <c r="O188" s="1"/>
      <c r="P188" s="1"/>
      <c r="Q188" s="1"/>
    </row>
    <row r="189" spans="1:17" ht="15" x14ac:dyDescent="0.25">
      <c r="A189" s="1"/>
      <c r="B189" s="52"/>
      <c r="C189" s="53"/>
      <c r="D189" s="52"/>
      <c r="E189" s="52"/>
      <c r="F189" s="52"/>
      <c r="G189" s="195"/>
      <c r="H189" s="178"/>
      <c r="I189" s="208"/>
      <c r="J189" s="207"/>
      <c r="K189" s="208"/>
      <c r="L189" s="208"/>
      <c r="M189" s="202"/>
      <c r="N189" s="1"/>
      <c r="O189" s="1"/>
      <c r="P189" s="1"/>
      <c r="Q189" s="1"/>
    </row>
    <row r="190" spans="1:17" ht="15" x14ac:dyDescent="0.25">
      <c r="A190" s="1"/>
      <c r="B190" s="52"/>
      <c r="C190" s="53"/>
      <c r="D190" s="52"/>
      <c r="E190" s="52"/>
      <c r="F190" s="52"/>
      <c r="G190" s="195"/>
      <c r="H190" s="178"/>
      <c r="I190" s="208"/>
      <c r="J190" s="207"/>
      <c r="K190" s="208"/>
      <c r="L190" s="208"/>
      <c r="M190" s="202"/>
      <c r="N190" s="1"/>
      <c r="O190" s="1"/>
      <c r="P190" s="1"/>
      <c r="Q190" s="1"/>
    </row>
    <row r="191" spans="1:17" ht="15" x14ac:dyDescent="0.25">
      <c r="A191" s="1"/>
      <c r="B191" s="52"/>
      <c r="C191" s="53"/>
      <c r="D191" s="52"/>
      <c r="E191" s="52"/>
      <c r="F191" s="52"/>
      <c r="G191" s="195"/>
      <c r="H191" s="178"/>
      <c r="I191" s="208"/>
      <c r="J191" s="207"/>
      <c r="K191" s="208"/>
      <c r="L191" s="208"/>
      <c r="M191" s="202"/>
      <c r="N191" s="1"/>
      <c r="O191" s="1"/>
      <c r="P191" s="1"/>
      <c r="Q191" s="1"/>
    </row>
  </sheetData>
  <mergeCells count="1">
    <mergeCell ref="B2:M2"/>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S33"/>
  <sheetViews>
    <sheetView topLeftCell="G20" zoomScale="90" zoomScaleNormal="90" workbookViewId="0">
      <selection activeCell="L32" sqref="L32:L54"/>
    </sheetView>
  </sheetViews>
  <sheetFormatPr baseColWidth="10" defaultColWidth="9.140625" defaultRowHeight="12.75" x14ac:dyDescent="0.2"/>
  <cols>
    <col min="1" max="1" width="13.42578125" style="32" hidden="1" customWidth="1"/>
    <col min="2" max="2" width="9.42578125" style="69" customWidth="1"/>
    <col min="3" max="3" width="18" style="70" customWidth="1"/>
    <col min="4" max="4" width="8.28515625" style="69" customWidth="1"/>
    <col min="5" max="5" width="9.140625" style="69"/>
    <col min="6" max="6" width="12.85546875" style="69" customWidth="1"/>
    <col min="7" max="7" width="10" style="69" customWidth="1"/>
    <col min="8" max="8" width="59"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2" spans="1:123" ht="24" customHeight="1" x14ac:dyDescent="0.2">
      <c r="B2" s="187" t="s">
        <v>1103</v>
      </c>
      <c r="C2" s="187"/>
      <c r="D2" s="187"/>
      <c r="E2" s="187"/>
      <c r="F2" s="187"/>
      <c r="G2" s="187"/>
      <c r="H2" s="187"/>
      <c r="I2" s="187"/>
      <c r="J2" s="187"/>
      <c r="K2" s="187"/>
      <c r="L2" s="187"/>
      <c r="M2" s="187"/>
    </row>
    <row r="4" spans="1:123" s="33" customFormat="1" ht="38.25" x14ac:dyDescent="0.2">
      <c r="A4" s="33" t="s">
        <v>641</v>
      </c>
      <c r="B4" s="71" t="s">
        <v>1100</v>
      </c>
      <c r="C4" s="71" t="s">
        <v>1092</v>
      </c>
      <c r="D4" s="35" t="s">
        <v>1091</v>
      </c>
      <c r="E4" s="71" t="s">
        <v>1097</v>
      </c>
      <c r="F4" s="35" t="s">
        <v>1098</v>
      </c>
      <c r="G4" s="35" t="s">
        <v>1093</v>
      </c>
      <c r="H4" s="71" t="s">
        <v>409</v>
      </c>
      <c r="I4" s="71" t="s">
        <v>1094</v>
      </c>
      <c r="J4" s="71" t="s">
        <v>1095</v>
      </c>
      <c r="K4" s="71" t="s">
        <v>1104</v>
      </c>
      <c r="L4" s="71" t="s">
        <v>1096</v>
      </c>
      <c r="M4" s="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row>
    <row r="6" spans="1:123" x14ac:dyDescent="0.2">
      <c r="A6" s="37"/>
      <c r="B6" s="52"/>
      <c r="C6" s="53"/>
      <c r="D6" s="52"/>
      <c r="E6" s="52"/>
      <c r="F6" s="52"/>
      <c r="G6" s="61"/>
      <c r="H6" s="42"/>
      <c r="I6" s="52"/>
      <c r="J6" s="53"/>
      <c r="K6" s="52"/>
      <c r="L6" s="52"/>
      <c r="M6" s="37"/>
    </row>
    <row r="7" spans="1:123" ht="15.75" x14ac:dyDescent="0.2">
      <c r="A7" s="37">
        <v>0</v>
      </c>
      <c r="B7" s="52"/>
      <c r="C7" s="53"/>
      <c r="D7" s="52"/>
      <c r="E7" s="52"/>
      <c r="F7" s="52"/>
      <c r="G7" s="61"/>
      <c r="H7" s="51" t="s">
        <v>821</v>
      </c>
      <c r="I7" s="52"/>
      <c r="J7" s="53"/>
      <c r="K7" s="52"/>
      <c r="L7" s="52"/>
      <c r="M7" s="54"/>
    </row>
    <row r="8" spans="1:123" ht="31.5" x14ac:dyDescent="0.2">
      <c r="A8" s="37">
        <v>1</v>
      </c>
      <c r="B8" s="52"/>
      <c r="C8" s="53"/>
      <c r="D8" s="52"/>
      <c r="E8" s="52"/>
      <c r="F8" s="52"/>
      <c r="G8" s="61"/>
      <c r="H8" s="51" t="s">
        <v>64</v>
      </c>
      <c r="I8" s="52"/>
      <c r="J8" s="53"/>
      <c r="K8" s="52"/>
      <c r="L8" s="52"/>
      <c r="M8" s="54"/>
    </row>
    <row r="9" spans="1:123" x14ac:dyDescent="0.2">
      <c r="A9" s="37">
        <v>2</v>
      </c>
      <c r="B9" s="52"/>
      <c r="C9" s="53"/>
      <c r="D9" s="52"/>
      <c r="E9" s="52"/>
      <c r="F9" s="52"/>
      <c r="G9" s="61"/>
      <c r="H9" s="42"/>
      <c r="I9" s="52"/>
      <c r="J9" s="53"/>
      <c r="K9" s="52"/>
      <c r="L9" s="52"/>
      <c r="M9" s="54"/>
    </row>
    <row r="10" spans="1:123" x14ac:dyDescent="0.2">
      <c r="A10" s="37">
        <v>3</v>
      </c>
      <c r="B10" s="52" t="s">
        <v>1025</v>
      </c>
      <c r="C10" s="53"/>
      <c r="D10" s="52"/>
      <c r="E10" s="52"/>
      <c r="F10" s="52"/>
      <c r="G10" s="61"/>
      <c r="H10" s="56" t="s">
        <v>912</v>
      </c>
      <c r="I10" s="52"/>
      <c r="J10" s="53"/>
      <c r="K10" s="52"/>
      <c r="L10" s="52"/>
      <c r="M10" s="38">
        <f>+M11</f>
        <v>1067000000</v>
      </c>
    </row>
    <row r="11" spans="1:123" x14ac:dyDescent="0.2">
      <c r="A11" s="37">
        <v>4</v>
      </c>
      <c r="B11" s="52" t="s">
        <v>472</v>
      </c>
      <c r="C11" s="53"/>
      <c r="D11" s="52"/>
      <c r="E11" s="52"/>
      <c r="F11" s="52"/>
      <c r="G11" s="61"/>
      <c r="H11" s="56" t="s">
        <v>248</v>
      </c>
      <c r="I11" s="52"/>
      <c r="J11" s="53"/>
      <c r="K11" s="52"/>
      <c r="L11" s="52"/>
      <c r="M11" s="38">
        <f>+M13+M20+M24</f>
        <v>1067000000</v>
      </c>
    </row>
    <row r="12" spans="1:123" ht="25.5" x14ac:dyDescent="0.2">
      <c r="A12" s="37">
        <v>5</v>
      </c>
      <c r="B12" s="52"/>
      <c r="C12" s="53"/>
      <c r="D12" s="52"/>
      <c r="E12" s="55">
        <v>411</v>
      </c>
      <c r="F12" s="52" t="s">
        <v>268</v>
      </c>
      <c r="G12" s="61"/>
      <c r="H12" s="42" t="s">
        <v>486</v>
      </c>
      <c r="I12" s="55">
        <v>2400</v>
      </c>
      <c r="J12" s="53" t="s">
        <v>208</v>
      </c>
      <c r="K12" s="55"/>
      <c r="L12" s="52"/>
      <c r="M12" s="54"/>
    </row>
    <row r="13" spans="1:123" ht="25.5" x14ac:dyDescent="0.2">
      <c r="A13" s="37">
        <v>6</v>
      </c>
      <c r="B13" s="52" t="s">
        <v>857</v>
      </c>
      <c r="C13" s="53"/>
      <c r="D13" s="52"/>
      <c r="E13" s="52"/>
      <c r="F13" s="52"/>
      <c r="G13" s="61"/>
      <c r="H13" s="56" t="s">
        <v>655</v>
      </c>
      <c r="I13" s="52"/>
      <c r="J13" s="53"/>
      <c r="K13" s="52"/>
      <c r="L13" s="52"/>
      <c r="M13" s="38">
        <f>+M18</f>
        <v>1000000000</v>
      </c>
    </row>
    <row r="14" spans="1:123" ht="38.25" x14ac:dyDescent="0.2">
      <c r="A14" s="37"/>
      <c r="B14" s="52"/>
      <c r="C14" s="53"/>
      <c r="D14" s="52" t="s">
        <v>83</v>
      </c>
      <c r="E14" s="55">
        <v>412</v>
      </c>
      <c r="F14" s="52" t="s">
        <v>1080</v>
      </c>
      <c r="G14" s="61"/>
      <c r="H14" s="42" t="s">
        <v>187</v>
      </c>
      <c r="I14" s="55">
        <v>700</v>
      </c>
      <c r="J14" s="53" t="s">
        <v>208</v>
      </c>
      <c r="K14" s="55">
        <v>424</v>
      </c>
      <c r="L14" s="52" t="s">
        <v>1249</v>
      </c>
      <c r="M14" s="38"/>
    </row>
    <row r="15" spans="1:123" ht="25.5" x14ac:dyDescent="0.2">
      <c r="A15" s="37"/>
      <c r="B15" s="52"/>
      <c r="C15" s="53"/>
      <c r="D15" s="52" t="s">
        <v>83</v>
      </c>
      <c r="E15" s="55">
        <v>413</v>
      </c>
      <c r="F15" s="52" t="s">
        <v>1080</v>
      </c>
      <c r="G15" s="61"/>
      <c r="H15" s="42" t="s">
        <v>295</v>
      </c>
      <c r="I15" s="55">
        <v>700</v>
      </c>
      <c r="J15" s="53" t="s">
        <v>208</v>
      </c>
      <c r="K15" s="55">
        <v>180</v>
      </c>
      <c r="L15" s="52" t="s">
        <v>1250</v>
      </c>
      <c r="M15" s="38"/>
    </row>
    <row r="16" spans="1:123" ht="25.5" x14ac:dyDescent="0.2">
      <c r="A16" s="37">
        <v>7</v>
      </c>
      <c r="B16" s="52"/>
      <c r="C16" s="53"/>
      <c r="D16" s="52" t="s">
        <v>83</v>
      </c>
      <c r="E16" s="55">
        <v>414</v>
      </c>
      <c r="F16" s="52" t="s">
        <v>1080</v>
      </c>
      <c r="G16" s="61"/>
      <c r="H16" s="42" t="s">
        <v>1043</v>
      </c>
      <c r="I16" s="55">
        <v>200</v>
      </c>
      <c r="J16" s="53" t="s">
        <v>208</v>
      </c>
      <c r="K16" s="55">
        <v>116</v>
      </c>
      <c r="L16" s="52" t="s">
        <v>1165</v>
      </c>
      <c r="M16" s="54"/>
    </row>
    <row r="17" spans="1:123" ht="63.75" customHeight="1" x14ac:dyDescent="0.2">
      <c r="A17" s="37">
        <v>7</v>
      </c>
      <c r="B17" s="52"/>
      <c r="C17" s="53"/>
      <c r="D17" s="52" t="s">
        <v>83</v>
      </c>
      <c r="E17" s="55">
        <v>415</v>
      </c>
      <c r="F17" s="52" t="s">
        <v>1080</v>
      </c>
      <c r="G17" s="61"/>
      <c r="H17" s="42" t="s">
        <v>1060</v>
      </c>
      <c r="I17" s="55">
        <v>2</v>
      </c>
      <c r="J17" s="53" t="s">
        <v>630</v>
      </c>
      <c r="K17" s="52" t="s">
        <v>1251</v>
      </c>
      <c r="L17" s="52" t="s">
        <v>301</v>
      </c>
      <c r="M17" s="54"/>
    </row>
    <row r="18" spans="1:123" ht="37.5" customHeight="1" x14ac:dyDescent="0.2">
      <c r="A18" s="37">
        <v>8</v>
      </c>
      <c r="B18" s="52"/>
      <c r="C18" s="53" t="s">
        <v>10</v>
      </c>
      <c r="D18" s="52"/>
      <c r="E18" s="52"/>
      <c r="F18" s="52"/>
      <c r="G18" s="61">
        <v>296006</v>
      </c>
      <c r="H18" s="66" t="s">
        <v>592</v>
      </c>
      <c r="I18" s="52"/>
      <c r="J18" s="53"/>
      <c r="K18" s="52"/>
      <c r="L18" s="52"/>
      <c r="M18" s="37">
        <f>+M19</f>
        <v>1000000000</v>
      </c>
    </row>
    <row r="19" spans="1:123" x14ac:dyDescent="0.2">
      <c r="A19" s="37">
        <v>9</v>
      </c>
      <c r="B19" s="52"/>
      <c r="C19" s="53"/>
      <c r="D19" s="52"/>
      <c r="E19" s="52"/>
      <c r="F19" s="52"/>
      <c r="G19" s="61"/>
      <c r="H19" s="42" t="s">
        <v>835</v>
      </c>
      <c r="I19" s="52"/>
      <c r="J19" s="53"/>
      <c r="K19" s="52"/>
      <c r="L19" s="52"/>
      <c r="M19" s="37">
        <f>2669000000-1669000000</f>
        <v>1000000000</v>
      </c>
    </row>
    <row r="20" spans="1:123" ht="38.25" x14ac:dyDescent="0.2">
      <c r="A20" s="37">
        <v>6</v>
      </c>
      <c r="B20" s="52" t="s">
        <v>497</v>
      </c>
      <c r="C20" s="53"/>
      <c r="D20" s="52"/>
      <c r="E20" s="52"/>
      <c r="F20" s="52"/>
      <c r="G20" s="61"/>
      <c r="H20" s="56" t="s">
        <v>426</v>
      </c>
      <c r="I20" s="52"/>
      <c r="J20" s="53"/>
      <c r="K20" s="52"/>
      <c r="L20" s="52"/>
      <c r="M20" s="38">
        <f>+M22</f>
        <v>60000000</v>
      </c>
    </row>
    <row r="21" spans="1:123" ht="51" customHeight="1" x14ac:dyDescent="0.2">
      <c r="A21" s="37">
        <v>7</v>
      </c>
      <c r="B21" s="52"/>
      <c r="C21" s="53"/>
      <c r="D21" s="52" t="s">
        <v>83</v>
      </c>
      <c r="E21" s="55">
        <v>416</v>
      </c>
      <c r="F21" s="52" t="s">
        <v>1080</v>
      </c>
      <c r="G21" s="61"/>
      <c r="H21" s="42" t="s">
        <v>647</v>
      </c>
      <c r="I21" s="55">
        <v>100</v>
      </c>
      <c r="J21" s="53" t="s">
        <v>179</v>
      </c>
      <c r="K21" s="52" t="s">
        <v>1118</v>
      </c>
      <c r="L21" s="52" t="s">
        <v>1251</v>
      </c>
      <c r="M21" s="54"/>
    </row>
    <row r="22" spans="1:123" ht="38.25" x14ac:dyDescent="0.2">
      <c r="A22" s="37">
        <v>8</v>
      </c>
      <c r="B22" s="52"/>
      <c r="C22" s="53" t="s">
        <v>10</v>
      </c>
      <c r="D22" s="52"/>
      <c r="E22" s="52"/>
      <c r="F22" s="52"/>
      <c r="G22" s="61">
        <v>296006</v>
      </c>
      <c r="H22" s="42" t="s">
        <v>592</v>
      </c>
      <c r="I22" s="52"/>
      <c r="J22" s="53"/>
      <c r="K22" s="52"/>
      <c r="L22" s="52"/>
      <c r="M22" s="37">
        <f>+M23</f>
        <v>60000000</v>
      </c>
    </row>
    <row r="23" spans="1:123" x14ac:dyDescent="0.2">
      <c r="A23" s="37">
        <v>9</v>
      </c>
      <c r="B23" s="52"/>
      <c r="C23" s="53"/>
      <c r="D23" s="52"/>
      <c r="E23" s="52"/>
      <c r="F23" s="52"/>
      <c r="G23" s="61"/>
      <c r="H23" s="42" t="s">
        <v>835</v>
      </c>
      <c r="I23" s="52"/>
      <c r="J23" s="53"/>
      <c r="K23" s="52"/>
      <c r="L23" s="52"/>
      <c r="M23" s="37">
        <v>60000000</v>
      </c>
    </row>
    <row r="24" spans="1:123" ht="38.25" x14ac:dyDescent="0.2">
      <c r="A24" s="37">
        <v>6</v>
      </c>
      <c r="B24" s="52" t="s">
        <v>955</v>
      </c>
      <c r="C24" s="53"/>
      <c r="D24" s="52"/>
      <c r="E24" s="52"/>
      <c r="F24" s="52"/>
      <c r="G24" s="61"/>
      <c r="H24" s="56" t="s">
        <v>831</v>
      </c>
      <c r="I24" s="52"/>
      <c r="J24" s="53"/>
      <c r="K24" s="52"/>
      <c r="L24" s="52"/>
      <c r="M24" s="38">
        <f>+M26</f>
        <v>7000000</v>
      </c>
    </row>
    <row r="25" spans="1:123" ht="25.5" x14ac:dyDescent="0.2">
      <c r="A25" s="37">
        <v>7</v>
      </c>
      <c r="B25" s="52"/>
      <c r="C25" s="53"/>
      <c r="D25" s="52" t="s">
        <v>83</v>
      </c>
      <c r="E25" s="55">
        <v>417</v>
      </c>
      <c r="F25" s="52" t="s">
        <v>1080</v>
      </c>
      <c r="G25" s="61"/>
      <c r="H25" s="42" t="s">
        <v>139</v>
      </c>
      <c r="I25" s="55">
        <v>1</v>
      </c>
      <c r="J25" s="53" t="s">
        <v>37</v>
      </c>
      <c r="K25" s="55">
        <v>0</v>
      </c>
      <c r="L25" s="52" t="s">
        <v>1251</v>
      </c>
      <c r="M25" s="54"/>
    </row>
    <row r="26" spans="1:123" ht="38.25" x14ac:dyDescent="0.2">
      <c r="A26" s="37">
        <v>8</v>
      </c>
      <c r="B26" s="52"/>
      <c r="C26" s="53" t="s">
        <v>10</v>
      </c>
      <c r="D26" s="52"/>
      <c r="E26" s="52"/>
      <c r="F26" s="52"/>
      <c r="G26" s="61">
        <v>296006</v>
      </c>
      <c r="H26" s="42" t="s">
        <v>592</v>
      </c>
      <c r="I26" s="52"/>
      <c r="J26" s="53"/>
      <c r="K26" s="52"/>
      <c r="L26" s="52"/>
      <c r="M26" s="37">
        <f>+M27</f>
        <v>7000000</v>
      </c>
    </row>
    <row r="27" spans="1:123" x14ac:dyDescent="0.2">
      <c r="A27" s="37">
        <v>9</v>
      </c>
      <c r="B27" s="52"/>
      <c r="C27" s="53"/>
      <c r="D27" s="52"/>
      <c r="E27" s="52"/>
      <c r="F27" s="52"/>
      <c r="G27" s="61"/>
      <c r="H27" s="42" t="s">
        <v>835</v>
      </c>
      <c r="I27" s="52"/>
      <c r="J27" s="53"/>
      <c r="K27" s="52"/>
      <c r="L27" s="52"/>
      <c r="M27" s="37">
        <v>7000000</v>
      </c>
    </row>
    <row r="28" spans="1:123" x14ac:dyDescent="0.2">
      <c r="A28" s="37"/>
      <c r="B28" s="52"/>
      <c r="C28" s="53"/>
      <c r="D28" s="52"/>
      <c r="E28" s="52"/>
      <c r="F28" s="52"/>
      <c r="G28" s="61"/>
      <c r="H28" s="42"/>
      <c r="I28" s="52"/>
      <c r="J28" s="53"/>
      <c r="K28" s="52"/>
      <c r="L28" s="52"/>
      <c r="M28" s="37"/>
    </row>
    <row r="29" spans="1:123" ht="30" x14ac:dyDescent="0.2">
      <c r="A29" s="37">
        <v>10</v>
      </c>
      <c r="B29" s="52"/>
      <c r="C29" s="53"/>
      <c r="D29" s="52"/>
      <c r="E29" s="52"/>
      <c r="F29" s="52"/>
      <c r="G29" s="61"/>
      <c r="H29" s="67" t="s">
        <v>946</v>
      </c>
      <c r="I29" s="68"/>
      <c r="J29" s="67"/>
      <c r="K29" s="68"/>
      <c r="L29" s="68"/>
      <c r="M29" s="60">
        <f>+M10</f>
        <v>1067000000</v>
      </c>
    </row>
    <row r="30" spans="1:123" x14ac:dyDescent="0.2">
      <c r="A30" s="37"/>
      <c r="B30" s="52"/>
      <c r="C30" s="53"/>
      <c r="D30" s="52"/>
      <c r="E30" s="52"/>
      <c r="F30" s="52"/>
      <c r="G30" s="61"/>
      <c r="H30" s="42"/>
      <c r="I30" s="52"/>
      <c r="J30" s="53"/>
      <c r="K30" s="52"/>
      <c r="L30" s="52"/>
      <c r="M30" s="37"/>
    </row>
    <row r="31" spans="1:123" x14ac:dyDescent="0.2">
      <c r="A31" s="37"/>
      <c r="B31" s="52"/>
      <c r="C31" s="53"/>
      <c r="D31" s="52"/>
      <c r="E31" s="52"/>
      <c r="F31" s="52"/>
      <c r="G31" s="61"/>
      <c r="H31" s="42"/>
      <c r="I31" s="52"/>
      <c r="J31" s="53"/>
      <c r="K31" s="52"/>
      <c r="L31" s="52"/>
      <c r="M31" s="37"/>
    </row>
    <row r="32" spans="1:123" s="36" customFormat="1" x14ac:dyDescent="0.2">
      <c r="A32" s="32"/>
      <c r="B32" s="69"/>
      <c r="C32" s="70"/>
      <c r="D32" s="69"/>
      <c r="E32" s="69"/>
      <c r="F32" s="69"/>
      <c r="G32" s="61"/>
      <c r="I32" s="69"/>
      <c r="J32" s="70"/>
      <c r="K32" s="69"/>
      <c r="L32" s="69"/>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row>
    <row r="33" spans="1:123" s="36" customFormat="1" x14ac:dyDescent="0.2">
      <c r="A33" s="32"/>
      <c r="B33" s="69"/>
      <c r="C33" s="70"/>
      <c r="D33" s="69"/>
      <c r="E33" s="69"/>
      <c r="F33" s="69"/>
      <c r="G33" s="61"/>
      <c r="I33" s="69"/>
      <c r="J33" s="70"/>
      <c r="K33" s="69"/>
      <c r="L33" s="69"/>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row>
  </sheetData>
  <mergeCells count="1">
    <mergeCell ref="B2:M2"/>
  </mergeCells>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307"/>
  <sheetViews>
    <sheetView topLeftCell="K1" zoomScale="80" zoomScaleNormal="80" workbookViewId="0">
      <selection activeCell="T12" sqref="T12"/>
    </sheetView>
  </sheetViews>
  <sheetFormatPr baseColWidth="10" defaultColWidth="9.140625" defaultRowHeight="12.75" x14ac:dyDescent="0.2"/>
  <cols>
    <col min="1" max="1" width="13.42578125" hidden="1" customWidth="1"/>
    <col min="2" max="2" width="9.42578125" style="4" customWidth="1"/>
    <col min="3" max="3" width="18" style="3" customWidth="1"/>
    <col min="4" max="4" width="8.28515625" style="4" customWidth="1"/>
    <col min="5" max="5" width="9.140625" style="4"/>
    <col min="6" max="6" width="12.85546875" style="4" customWidth="1"/>
    <col min="7" max="7" width="10" style="4" customWidth="1"/>
    <col min="8" max="8" width="63.28515625" style="2" customWidth="1"/>
    <col min="9" max="9" width="11.7109375" style="4" customWidth="1"/>
    <col min="10" max="10" width="16.28515625" style="3" customWidth="1"/>
    <col min="11" max="11" width="16" style="4" customWidth="1"/>
    <col min="12" max="12" width="44" style="4" customWidth="1"/>
    <col min="13" max="13" width="20.5703125" hidden="1" customWidth="1"/>
    <col min="14" max="14" width="20.28515625" customWidth="1"/>
    <col min="15" max="15" width="20.140625" customWidth="1"/>
    <col min="16" max="16" width="13.5703125" bestFit="1" customWidth="1"/>
    <col min="18" max="18" width="19.5703125" customWidth="1"/>
  </cols>
  <sheetData>
    <row r="2" spans="1:156" ht="24" customHeight="1" x14ac:dyDescent="0.2">
      <c r="B2" s="82" t="s">
        <v>1103</v>
      </c>
      <c r="C2" s="82"/>
      <c r="D2" s="82"/>
      <c r="E2" s="82"/>
      <c r="F2" s="82"/>
      <c r="G2" s="82"/>
      <c r="H2" s="82"/>
      <c r="I2" s="82"/>
      <c r="J2" s="82"/>
      <c r="K2" s="82"/>
      <c r="L2" s="82"/>
      <c r="M2" s="82"/>
      <c r="N2" s="82"/>
    </row>
    <row r="4" spans="1:156" s="7" customFormat="1" ht="102" x14ac:dyDescent="0.2">
      <c r="A4" s="7" t="s">
        <v>641</v>
      </c>
      <c r="B4" s="10" t="s">
        <v>1100</v>
      </c>
      <c r="C4" s="10" t="s">
        <v>1092</v>
      </c>
      <c r="D4" s="9" t="s">
        <v>1091</v>
      </c>
      <c r="E4" s="10" t="s">
        <v>1097</v>
      </c>
      <c r="F4" s="9" t="s">
        <v>1098</v>
      </c>
      <c r="G4" s="9" t="s">
        <v>1093</v>
      </c>
      <c r="H4" s="10" t="s">
        <v>409</v>
      </c>
      <c r="I4" s="10" t="s">
        <v>1094</v>
      </c>
      <c r="J4" s="10" t="s">
        <v>1095</v>
      </c>
      <c r="K4" s="10" t="s">
        <v>1104</v>
      </c>
      <c r="L4" s="10" t="s">
        <v>1096</v>
      </c>
      <c r="M4" s="7" t="s">
        <v>102</v>
      </c>
      <c r="N4" s="10" t="s">
        <v>1099</v>
      </c>
      <c r="O4" s="31" t="s">
        <v>1368</v>
      </c>
      <c r="P4" s="31" t="s">
        <v>1369</v>
      </c>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row>
    <row r="6" spans="1:156" x14ac:dyDescent="0.2">
      <c r="A6" s="1"/>
      <c r="B6" s="12"/>
      <c r="C6" s="13"/>
      <c r="D6" s="12"/>
      <c r="E6" s="12"/>
      <c r="F6" s="12"/>
      <c r="G6" s="19"/>
      <c r="H6" s="16"/>
      <c r="I6" s="12"/>
      <c r="J6" s="13"/>
      <c r="K6" s="12"/>
      <c r="L6" s="12"/>
      <c r="M6" s="21"/>
      <c r="N6" s="21"/>
      <c r="O6" s="21"/>
      <c r="P6" s="21"/>
      <c r="Q6" s="1"/>
      <c r="R6" s="1"/>
      <c r="S6" s="1"/>
      <c r="T6" s="1"/>
      <c r="U6" s="1"/>
      <c r="V6" s="1"/>
      <c r="W6" s="1"/>
    </row>
    <row r="7" spans="1:156" ht="15.75" x14ac:dyDescent="0.2">
      <c r="A7" s="1">
        <v>0</v>
      </c>
      <c r="B7" s="12"/>
      <c r="C7" s="13"/>
      <c r="D7" s="12"/>
      <c r="E7" s="12"/>
      <c r="F7" s="12"/>
      <c r="G7" s="19"/>
      <c r="H7" s="26" t="s">
        <v>965</v>
      </c>
      <c r="I7" s="12"/>
      <c r="J7" s="13"/>
      <c r="K7" s="12"/>
      <c r="L7" s="12"/>
      <c r="M7" s="14"/>
      <c r="N7" s="14"/>
      <c r="O7" s="21"/>
      <c r="P7" s="21"/>
      <c r="Q7" s="1"/>
      <c r="R7" s="1"/>
      <c r="S7" s="1"/>
      <c r="T7" s="1"/>
      <c r="U7" s="1"/>
      <c r="V7" s="1"/>
      <c r="W7" s="1"/>
    </row>
    <row r="8" spans="1:156" ht="31.5" x14ac:dyDescent="0.2">
      <c r="A8" s="1">
        <v>1</v>
      </c>
      <c r="B8" s="12"/>
      <c r="C8" s="13"/>
      <c r="D8" s="12"/>
      <c r="E8" s="12"/>
      <c r="F8" s="12"/>
      <c r="G8" s="19"/>
      <c r="H8" s="26" t="s">
        <v>737</v>
      </c>
      <c r="I8" s="12"/>
      <c r="J8" s="13"/>
      <c r="K8" s="12"/>
      <c r="L8" s="12"/>
      <c r="M8" s="14"/>
      <c r="N8" s="14"/>
      <c r="O8" s="21"/>
      <c r="P8" s="21"/>
      <c r="Q8" s="1"/>
      <c r="R8" s="1"/>
      <c r="S8" s="1"/>
      <c r="T8" s="1"/>
      <c r="U8" s="1"/>
      <c r="V8" s="1"/>
      <c r="W8" s="1"/>
    </row>
    <row r="9" spans="1:156" x14ac:dyDescent="0.2">
      <c r="A9" s="1">
        <v>2</v>
      </c>
      <c r="B9" s="12"/>
      <c r="C9" s="13"/>
      <c r="D9" s="12"/>
      <c r="E9" s="12"/>
      <c r="F9" s="12"/>
      <c r="G9" s="19"/>
      <c r="H9" s="16"/>
      <c r="I9" s="12"/>
      <c r="J9" s="13"/>
      <c r="K9" s="12"/>
      <c r="L9" s="12"/>
      <c r="M9" s="14"/>
      <c r="N9" s="14"/>
      <c r="O9" s="21"/>
      <c r="P9" s="21"/>
      <c r="Q9" s="1"/>
      <c r="R9" s="1"/>
      <c r="S9" s="1"/>
      <c r="T9" s="1"/>
      <c r="U9" s="1"/>
      <c r="V9" s="1"/>
      <c r="W9" s="1"/>
    </row>
    <row r="10" spans="1:156" x14ac:dyDescent="0.2">
      <c r="A10" s="1">
        <v>3</v>
      </c>
      <c r="B10" s="12" t="s">
        <v>301</v>
      </c>
      <c r="C10" s="13"/>
      <c r="D10" s="12"/>
      <c r="E10" s="12"/>
      <c r="F10" s="12"/>
      <c r="G10" s="19"/>
      <c r="H10" s="20" t="s">
        <v>981</v>
      </c>
      <c r="I10" s="12"/>
      <c r="J10" s="13"/>
      <c r="K10" s="12"/>
      <c r="L10" s="12"/>
      <c r="M10" s="17">
        <v>13762250932</v>
      </c>
      <c r="N10" s="17">
        <f>+N11</f>
        <v>15314400000</v>
      </c>
      <c r="O10" s="21"/>
      <c r="P10" s="21"/>
      <c r="Q10" s="1"/>
      <c r="R10" s="1"/>
      <c r="S10" s="1"/>
      <c r="T10" s="1"/>
      <c r="U10" s="1"/>
      <c r="V10" s="1"/>
      <c r="W10" s="1"/>
    </row>
    <row r="11" spans="1:156" ht="25.5" x14ac:dyDescent="0.2">
      <c r="A11" s="1">
        <v>4</v>
      </c>
      <c r="B11" s="12" t="s">
        <v>114</v>
      </c>
      <c r="C11" s="13"/>
      <c r="D11" s="12"/>
      <c r="E11" s="12"/>
      <c r="F11" s="12"/>
      <c r="G11" s="19"/>
      <c r="H11" s="20" t="s">
        <v>457</v>
      </c>
      <c r="I11" s="12"/>
      <c r="J11" s="13"/>
      <c r="K11" s="12"/>
      <c r="L11" s="12"/>
      <c r="M11" s="17">
        <v>13362250932</v>
      </c>
      <c r="N11" s="17">
        <f>+N13</f>
        <v>15314400000</v>
      </c>
      <c r="O11" s="21"/>
      <c r="P11" s="21"/>
      <c r="Q11" s="1"/>
      <c r="R11" s="1"/>
      <c r="S11" s="1"/>
      <c r="T11" s="1"/>
      <c r="U11" s="1"/>
      <c r="V11" s="1"/>
      <c r="W11" s="1"/>
    </row>
    <row r="12" spans="1:156" ht="25.5" x14ac:dyDescent="0.2">
      <c r="A12" s="1">
        <v>5</v>
      </c>
      <c r="B12" s="12"/>
      <c r="C12" s="13"/>
      <c r="D12" s="12"/>
      <c r="E12" s="18">
        <v>257</v>
      </c>
      <c r="F12" s="12" t="s">
        <v>268</v>
      </c>
      <c r="G12" s="19"/>
      <c r="H12" s="16" t="s">
        <v>155</v>
      </c>
      <c r="I12" s="18">
        <v>116</v>
      </c>
      <c r="J12" s="13" t="s">
        <v>286</v>
      </c>
      <c r="K12" s="18">
        <v>116</v>
      </c>
      <c r="L12" s="12" t="s">
        <v>1167</v>
      </c>
      <c r="M12" s="14"/>
      <c r="N12" s="14"/>
      <c r="O12" s="21"/>
      <c r="P12" s="21"/>
      <c r="Q12" s="1"/>
      <c r="R12" s="1"/>
      <c r="S12" s="1"/>
      <c r="T12" s="1"/>
      <c r="U12" s="1"/>
      <c r="V12" s="1"/>
      <c r="W12" s="1"/>
    </row>
    <row r="13" spans="1:156" x14ac:dyDescent="0.2">
      <c r="A13" s="1">
        <v>6</v>
      </c>
      <c r="B13" s="12" t="s">
        <v>857</v>
      </c>
      <c r="C13" s="13"/>
      <c r="D13" s="12"/>
      <c r="E13" s="12"/>
      <c r="F13" s="12"/>
      <c r="G13" s="19"/>
      <c r="H13" s="20" t="s">
        <v>288</v>
      </c>
      <c r="I13" s="12"/>
      <c r="J13" s="13"/>
      <c r="K13" s="12"/>
      <c r="L13" s="12"/>
      <c r="M13" s="17">
        <v>13362250932</v>
      </c>
      <c r="N13" s="17">
        <f>+N21+N24+N31+N27+N29</f>
        <v>15314400000</v>
      </c>
      <c r="O13" s="21"/>
      <c r="P13" s="21"/>
      <c r="Q13" s="1"/>
      <c r="R13" s="1"/>
      <c r="S13" s="1"/>
      <c r="T13" s="1"/>
      <c r="U13" s="1"/>
      <c r="V13" s="1"/>
      <c r="W13" s="1"/>
    </row>
    <row r="14" spans="1:156" ht="25.5" x14ac:dyDescent="0.2">
      <c r="A14" s="1">
        <v>7</v>
      </c>
      <c r="B14" s="12"/>
      <c r="C14" s="13"/>
      <c r="D14" s="12" t="s">
        <v>410</v>
      </c>
      <c r="E14" s="18">
        <v>258</v>
      </c>
      <c r="F14" s="12" t="s">
        <v>1080</v>
      </c>
      <c r="G14" s="19"/>
      <c r="H14" s="16" t="s">
        <v>817</v>
      </c>
      <c r="I14" s="18">
        <v>500</v>
      </c>
      <c r="J14" s="13" t="s">
        <v>951</v>
      </c>
      <c r="K14" s="18">
        <v>160</v>
      </c>
      <c r="L14" s="12" t="s">
        <v>1367</v>
      </c>
      <c r="M14" s="14"/>
      <c r="N14" s="14"/>
      <c r="O14" s="21"/>
      <c r="P14" s="21"/>
      <c r="Q14" s="1"/>
      <c r="R14" s="1"/>
      <c r="S14" s="1"/>
      <c r="T14" s="1"/>
      <c r="U14" s="1"/>
      <c r="V14" s="1"/>
      <c r="W14" s="1"/>
    </row>
    <row r="15" spans="1:156" ht="51" x14ac:dyDescent="0.2">
      <c r="A15" s="1"/>
      <c r="B15" s="12"/>
      <c r="C15" s="13"/>
      <c r="D15" s="12" t="s">
        <v>574</v>
      </c>
      <c r="E15" s="12">
        <v>268</v>
      </c>
      <c r="F15" s="18" t="s">
        <v>1116</v>
      </c>
      <c r="G15" s="12"/>
      <c r="H15" s="16" t="s">
        <v>1147</v>
      </c>
      <c r="I15" s="16">
        <v>21</v>
      </c>
      <c r="J15" s="18" t="s">
        <v>873</v>
      </c>
      <c r="K15" s="18">
        <v>2</v>
      </c>
      <c r="L15" s="12" t="s">
        <v>1180</v>
      </c>
      <c r="M15" s="14"/>
      <c r="N15" s="14"/>
      <c r="O15" s="21"/>
      <c r="P15" s="21"/>
      <c r="Q15" s="1"/>
      <c r="R15" s="1"/>
      <c r="S15" s="1"/>
      <c r="T15" s="1"/>
      <c r="U15" s="1"/>
      <c r="V15" s="1"/>
      <c r="W15" s="1"/>
    </row>
    <row r="16" spans="1:156" ht="51" x14ac:dyDescent="0.2">
      <c r="A16" s="1">
        <v>7</v>
      </c>
      <c r="B16" s="12"/>
      <c r="C16" s="13"/>
      <c r="D16" s="12" t="s">
        <v>574</v>
      </c>
      <c r="E16" s="12">
        <v>261</v>
      </c>
      <c r="F16" s="18" t="s">
        <v>1080</v>
      </c>
      <c r="G16" s="12"/>
      <c r="H16" s="43" t="s">
        <v>899</v>
      </c>
      <c r="I16" s="16">
        <v>6</v>
      </c>
      <c r="J16" s="18" t="s">
        <v>765</v>
      </c>
      <c r="K16" s="18"/>
      <c r="L16" s="12"/>
      <c r="M16" s="14"/>
      <c r="N16" s="14"/>
      <c r="O16" s="21"/>
      <c r="P16" s="21"/>
      <c r="Q16" s="1"/>
      <c r="R16" s="1"/>
      <c r="S16" s="1"/>
      <c r="T16" s="1"/>
      <c r="U16" s="1"/>
      <c r="V16" s="1"/>
      <c r="W16" s="1"/>
    </row>
    <row r="17" spans="1:23" ht="25.5" x14ac:dyDescent="0.2">
      <c r="A17" s="1">
        <v>7</v>
      </c>
      <c r="B17" s="12"/>
      <c r="C17" s="13"/>
      <c r="D17" s="12" t="s">
        <v>1037</v>
      </c>
      <c r="E17" s="12">
        <v>263</v>
      </c>
      <c r="F17" s="18" t="s">
        <v>1080</v>
      </c>
      <c r="G17" s="12"/>
      <c r="H17" s="16" t="s">
        <v>135</v>
      </c>
      <c r="I17" s="16">
        <v>50</v>
      </c>
      <c r="J17" s="18" t="s">
        <v>130</v>
      </c>
      <c r="K17" s="18"/>
      <c r="L17" s="12"/>
      <c r="M17" s="14"/>
      <c r="N17" s="14"/>
      <c r="O17" s="21"/>
      <c r="P17" s="21"/>
      <c r="Q17" s="1"/>
      <c r="R17" s="1"/>
      <c r="S17" s="1"/>
      <c r="T17" s="1"/>
      <c r="U17" s="1"/>
      <c r="V17" s="1"/>
      <c r="W17" s="1"/>
    </row>
    <row r="18" spans="1:23" ht="38.25" x14ac:dyDescent="0.2">
      <c r="A18" s="1"/>
      <c r="B18" s="12"/>
      <c r="C18" s="13"/>
      <c r="D18" s="12"/>
      <c r="E18" s="12">
        <v>260</v>
      </c>
      <c r="F18" s="18" t="s">
        <v>1116</v>
      </c>
      <c r="G18" s="12"/>
      <c r="H18" s="16" t="s">
        <v>1150</v>
      </c>
      <c r="I18" s="16">
        <v>1</v>
      </c>
      <c r="J18" s="18" t="s">
        <v>1151</v>
      </c>
      <c r="K18" s="18"/>
      <c r="L18" s="12"/>
      <c r="M18" s="14"/>
      <c r="N18" s="14"/>
      <c r="O18" s="21"/>
      <c r="P18" s="21"/>
      <c r="Q18" s="1"/>
      <c r="R18" s="1"/>
      <c r="S18" s="1"/>
      <c r="T18" s="1"/>
      <c r="U18" s="1"/>
      <c r="V18" s="1"/>
      <c r="W18" s="1"/>
    </row>
    <row r="19" spans="1:23" ht="51" x14ac:dyDescent="0.2">
      <c r="A19" s="1"/>
      <c r="B19" s="12"/>
      <c r="C19" s="13"/>
      <c r="D19" s="12"/>
      <c r="E19" s="12">
        <v>259</v>
      </c>
      <c r="F19" s="18" t="s">
        <v>1116</v>
      </c>
      <c r="G19" s="12"/>
      <c r="H19" s="16" t="s">
        <v>1148</v>
      </c>
      <c r="I19" s="16">
        <v>1</v>
      </c>
      <c r="J19" s="18" t="s">
        <v>257</v>
      </c>
      <c r="K19" s="18"/>
      <c r="L19" s="12"/>
      <c r="M19" s="14"/>
      <c r="N19" s="14"/>
      <c r="O19" s="21"/>
      <c r="P19" s="21"/>
      <c r="Q19" s="1"/>
      <c r="R19" s="1"/>
      <c r="S19" s="1"/>
      <c r="T19" s="1"/>
      <c r="U19" s="1"/>
      <c r="V19" s="1"/>
      <c r="W19" s="1"/>
    </row>
    <row r="20" spans="1:23" ht="51" x14ac:dyDescent="0.2">
      <c r="A20" s="1"/>
      <c r="B20" s="12"/>
      <c r="C20" s="13"/>
      <c r="D20" s="12"/>
      <c r="E20" s="12">
        <v>262</v>
      </c>
      <c r="F20" s="18" t="s">
        <v>1116</v>
      </c>
      <c r="G20" s="12"/>
      <c r="H20" s="16" t="s">
        <v>1149</v>
      </c>
      <c r="I20" s="16">
        <v>25</v>
      </c>
      <c r="J20" s="18" t="s">
        <v>440</v>
      </c>
      <c r="K20" s="18"/>
      <c r="L20" s="12"/>
      <c r="M20" s="14"/>
      <c r="N20" s="14"/>
      <c r="O20" s="21"/>
      <c r="P20" s="21"/>
      <c r="Q20" s="1"/>
      <c r="R20" s="1"/>
      <c r="S20" s="1"/>
      <c r="T20" s="1"/>
      <c r="U20" s="1"/>
      <c r="V20" s="1"/>
      <c r="W20" s="1"/>
    </row>
    <row r="21" spans="1:23" ht="51" x14ac:dyDescent="0.2">
      <c r="A21" s="1">
        <v>8</v>
      </c>
      <c r="B21" s="12"/>
      <c r="C21" s="13" t="s">
        <v>10</v>
      </c>
      <c r="D21" s="12"/>
      <c r="E21" s="12"/>
      <c r="F21" s="12"/>
      <c r="G21" s="19">
        <v>295947</v>
      </c>
      <c r="H21" s="16" t="s">
        <v>688</v>
      </c>
      <c r="I21" s="12"/>
      <c r="J21" s="13"/>
      <c r="K21" s="12"/>
      <c r="L21" s="12"/>
      <c r="M21" s="21">
        <v>6000000000</v>
      </c>
      <c r="N21" s="21">
        <f>+N22+N23</f>
        <v>15177000000</v>
      </c>
      <c r="O21" s="21">
        <f t="shared" ref="O21:Q21" si="0">+O22</f>
        <v>6177000000</v>
      </c>
      <c r="P21" s="21">
        <f t="shared" si="0"/>
        <v>9000000000</v>
      </c>
      <c r="Q21" s="21">
        <f t="shared" si="0"/>
        <v>0</v>
      </c>
      <c r="R21" s="1"/>
      <c r="S21" s="1"/>
      <c r="T21" s="1"/>
      <c r="U21" s="1"/>
      <c r="V21" s="1"/>
      <c r="W21" s="1"/>
    </row>
    <row r="22" spans="1:23" x14ac:dyDescent="0.2">
      <c r="A22" s="1">
        <v>9</v>
      </c>
      <c r="B22" s="12"/>
      <c r="C22" s="13"/>
      <c r="D22" s="12"/>
      <c r="E22" s="12"/>
      <c r="F22" s="12"/>
      <c r="G22" s="19"/>
      <c r="H22" s="44" t="s">
        <v>785</v>
      </c>
      <c r="I22" s="12"/>
      <c r="J22" s="13"/>
      <c r="K22" s="12"/>
      <c r="L22" s="12"/>
      <c r="M22" s="21">
        <v>6000000000</v>
      </c>
      <c r="N22" s="21">
        <v>15177000000</v>
      </c>
      <c r="O22" s="21">
        <v>6177000000</v>
      </c>
      <c r="P22" s="21">
        <v>9000000000</v>
      </c>
      <c r="Q22" s="1"/>
      <c r="R22" s="1">
        <f t="shared" ref="R22:R82" si="1">SUM(O22:Q22)</f>
        <v>15177000000</v>
      </c>
      <c r="S22" s="1"/>
      <c r="T22" s="1"/>
      <c r="U22" s="1"/>
      <c r="V22" s="1"/>
      <c r="W22" s="1"/>
    </row>
    <row r="23" spans="1:23" x14ac:dyDescent="0.2">
      <c r="A23" s="1"/>
      <c r="B23" s="12"/>
      <c r="C23" s="13"/>
      <c r="D23" s="12"/>
      <c r="E23" s="12"/>
      <c r="F23" s="12"/>
      <c r="G23" s="19"/>
      <c r="H23" s="44" t="s">
        <v>835</v>
      </c>
      <c r="I23" s="12"/>
      <c r="J23" s="13"/>
      <c r="K23" s="12"/>
      <c r="L23" s="12"/>
      <c r="M23" s="21"/>
      <c r="N23" s="21">
        <v>0</v>
      </c>
      <c r="O23" s="21"/>
      <c r="P23" s="21"/>
      <c r="Q23" s="1"/>
      <c r="R23" s="1"/>
      <c r="S23" s="1"/>
      <c r="T23" s="1"/>
      <c r="U23" s="1"/>
      <c r="V23" s="1"/>
      <c r="W23" s="1"/>
    </row>
    <row r="24" spans="1:23" ht="38.25" x14ac:dyDescent="0.2">
      <c r="A24" s="1">
        <v>8</v>
      </c>
      <c r="B24" s="12"/>
      <c r="C24" s="13" t="s">
        <v>10</v>
      </c>
      <c r="D24" s="12"/>
      <c r="E24" s="12"/>
      <c r="F24" s="12"/>
      <c r="G24" s="19">
        <v>296111</v>
      </c>
      <c r="H24" s="16" t="s">
        <v>322</v>
      </c>
      <c r="I24" s="12"/>
      <c r="J24" s="13"/>
      <c r="K24" s="12"/>
      <c r="L24" s="12"/>
      <c r="M24" s="21">
        <v>2362250932</v>
      </c>
      <c r="N24" s="21">
        <f>+N25+N26</f>
        <v>0</v>
      </c>
      <c r="O24" s="21">
        <f t="shared" ref="O24:Q24" si="2">+O25+O26</f>
        <v>0</v>
      </c>
      <c r="P24" s="21">
        <f t="shared" si="2"/>
        <v>0</v>
      </c>
      <c r="Q24" s="21">
        <f t="shared" si="2"/>
        <v>0</v>
      </c>
      <c r="R24" s="1"/>
      <c r="S24" s="1"/>
      <c r="T24" s="1"/>
      <c r="U24" s="1"/>
      <c r="V24" s="1"/>
      <c r="W24" s="1"/>
    </row>
    <row r="25" spans="1:23" x14ac:dyDescent="0.2">
      <c r="A25" s="1">
        <v>9</v>
      </c>
      <c r="B25" s="12"/>
      <c r="C25" s="13"/>
      <c r="D25" s="12"/>
      <c r="E25" s="12"/>
      <c r="F25" s="12"/>
      <c r="G25" s="19"/>
      <c r="H25" s="44" t="s">
        <v>785</v>
      </c>
      <c r="I25" s="12"/>
      <c r="J25" s="13"/>
      <c r="K25" s="12"/>
      <c r="L25" s="12"/>
      <c r="M25" s="21">
        <v>1416250932</v>
      </c>
      <c r="N25" s="21">
        <v>0</v>
      </c>
      <c r="O25" s="21"/>
      <c r="P25" s="21"/>
      <c r="Q25" s="1"/>
      <c r="R25" s="1">
        <f t="shared" si="1"/>
        <v>0</v>
      </c>
      <c r="S25" s="1"/>
      <c r="T25" s="1"/>
      <c r="U25" s="1"/>
      <c r="V25" s="1"/>
      <c r="W25" s="1"/>
    </row>
    <row r="26" spans="1:23" x14ac:dyDescent="0.2">
      <c r="A26" s="1">
        <v>9</v>
      </c>
      <c r="B26" s="12"/>
      <c r="C26" s="13"/>
      <c r="D26" s="12"/>
      <c r="E26" s="12"/>
      <c r="F26" s="12"/>
      <c r="G26" s="19"/>
      <c r="H26" s="44" t="s">
        <v>835</v>
      </c>
      <c r="I26" s="12"/>
      <c r="J26" s="13"/>
      <c r="K26" s="12"/>
      <c r="L26" s="12"/>
      <c r="M26" s="21">
        <v>946000000</v>
      </c>
      <c r="N26" s="21">
        <v>0</v>
      </c>
      <c r="O26" s="21"/>
      <c r="P26" s="21"/>
      <c r="Q26" s="1"/>
      <c r="R26" s="1">
        <f t="shared" si="1"/>
        <v>0</v>
      </c>
      <c r="S26" s="1"/>
      <c r="T26" s="1"/>
      <c r="U26" s="1"/>
      <c r="V26" s="1"/>
      <c r="W26" s="1"/>
    </row>
    <row r="27" spans="1:23" ht="28.5" customHeight="1" x14ac:dyDescent="0.2">
      <c r="A27" s="1"/>
      <c r="B27" s="12"/>
      <c r="C27" s="13"/>
      <c r="D27" s="12"/>
      <c r="E27" s="12"/>
      <c r="F27" s="12"/>
      <c r="G27" s="19">
        <v>296088</v>
      </c>
      <c r="H27" s="16" t="s">
        <v>13</v>
      </c>
      <c r="I27" s="12"/>
      <c r="J27" s="13"/>
      <c r="K27" s="12"/>
      <c r="L27" s="12"/>
      <c r="M27" s="21"/>
      <c r="N27" s="21">
        <f>+N28</f>
        <v>0</v>
      </c>
      <c r="O27" s="21"/>
      <c r="P27" s="21"/>
      <c r="Q27" s="1"/>
      <c r="R27" s="1"/>
      <c r="S27" s="1"/>
      <c r="T27" s="1"/>
      <c r="U27" s="1"/>
      <c r="V27" s="1"/>
      <c r="W27" s="1"/>
    </row>
    <row r="28" spans="1:23" x14ac:dyDescent="0.2">
      <c r="A28" s="1"/>
      <c r="B28" s="12"/>
      <c r="C28" s="13"/>
      <c r="D28" s="12"/>
      <c r="E28" s="12"/>
      <c r="F28" s="12"/>
      <c r="G28" s="19"/>
      <c r="H28" s="44" t="s">
        <v>835</v>
      </c>
      <c r="I28" s="12"/>
      <c r="J28" s="13"/>
      <c r="K28" s="12"/>
      <c r="L28" s="12"/>
      <c r="M28" s="21"/>
      <c r="N28" s="21">
        <v>0</v>
      </c>
      <c r="O28" s="21"/>
      <c r="P28" s="21"/>
      <c r="Q28" s="1"/>
      <c r="R28" s="1"/>
      <c r="S28" s="1"/>
      <c r="T28" s="1"/>
      <c r="U28" s="1"/>
      <c r="V28" s="1"/>
      <c r="W28" s="1"/>
    </row>
    <row r="29" spans="1:23" ht="38.25" x14ac:dyDescent="0.2">
      <c r="A29" s="1"/>
      <c r="B29" s="12"/>
      <c r="C29" s="13"/>
      <c r="D29" s="12"/>
      <c r="E29" s="12"/>
      <c r="F29" s="12"/>
      <c r="G29" s="19">
        <v>286820</v>
      </c>
      <c r="H29" s="16" t="s">
        <v>1152</v>
      </c>
      <c r="I29" s="12"/>
      <c r="J29" s="13"/>
      <c r="K29" s="12"/>
      <c r="L29" s="12"/>
      <c r="M29" s="21"/>
      <c r="N29" s="21">
        <f>+N30</f>
        <v>0</v>
      </c>
      <c r="O29" s="21"/>
      <c r="P29" s="21"/>
      <c r="Q29" s="1"/>
      <c r="R29" s="1"/>
      <c r="S29" s="1"/>
      <c r="T29" s="1"/>
      <c r="U29" s="1"/>
      <c r="V29" s="1"/>
      <c r="W29" s="1"/>
    </row>
    <row r="30" spans="1:23" x14ac:dyDescent="0.2">
      <c r="A30" s="1"/>
      <c r="B30" s="12"/>
      <c r="C30" s="13"/>
      <c r="D30" s="12"/>
      <c r="E30" s="12"/>
      <c r="F30" s="12"/>
      <c r="G30" s="19"/>
      <c r="H30" s="44" t="s">
        <v>835</v>
      </c>
      <c r="I30" s="12"/>
      <c r="J30" s="13"/>
      <c r="K30" s="12"/>
      <c r="L30" s="12"/>
      <c r="M30" s="21"/>
      <c r="N30" s="21">
        <v>0</v>
      </c>
      <c r="O30" s="21"/>
      <c r="P30" s="21"/>
      <c r="Q30" s="1"/>
      <c r="R30" s="1"/>
      <c r="S30" s="1"/>
      <c r="T30" s="1"/>
      <c r="U30" s="1"/>
      <c r="V30" s="1"/>
      <c r="W30" s="1"/>
    </row>
    <row r="31" spans="1:23" ht="63.75" x14ac:dyDescent="0.2">
      <c r="A31" s="1">
        <v>8</v>
      </c>
      <c r="B31" s="12"/>
      <c r="C31" s="13" t="s">
        <v>10</v>
      </c>
      <c r="D31" s="12"/>
      <c r="E31" s="12"/>
      <c r="F31" s="12"/>
      <c r="G31" s="19">
        <v>296100</v>
      </c>
      <c r="H31" s="27" t="s">
        <v>936</v>
      </c>
      <c r="I31" s="12"/>
      <c r="J31" s="13"/>
      <c r="K31" s="12"/>
      <c r="L31" s="12"/>
      <c r="M31" s="21">
        <v>5000000000</v>
      </c>
      <c r="N31" s="21">
        <f>+N32</f>
        <v>137400000</v>
      </c>
      <c r="O31" s="21">
        <f t="shared" ref="O31:Q31" si="3">+O32</f>
        <v>0</v>
      </c>
      <c r="P31" s="21">
        <f t="shared" si="3"/>
        <v>0</v>
      </c>
      <c r="Q31" s="21">
        <f t="shared" si="3"/>
        <v>0</v>
      </c>
      <c r="R31" s="1"/>
      <c r="S31" s="1"/>
      <c r="T31" s="1"/>
      <c r="U31" s="1"/>
      <c r="V31" s="1"/>
      <c r="W31" s="1"/>
    </row>
    <row r="32" spans="1:23" x14ac:dyDescent="0.2">
      <c r="A32" s="1">
        <v>9</v>
      </c>
      <c r="B32" s="12"/>
      <c r="C32" s="13"/>
      <c r="D32" s="12"/>
      <c r="E32" s="12"/>
      <c r="F32" s="12"/>
      <c r="G32" s="19"/>
      <c r="H32" s="44" t="s">
        <v>835</v>
      </c>
      <c r="I32" s="12"/>
      <c r="J32" s="13"/>
      <c r="K32" s="12"/>
      <c r="L32" s="12"/>
      <c r="M32" s="21">
        <v>5000000000</v>
      </c>
      <c r="N32" s="21">
        <v>137400000</v>
      </c>
      <c r="O32" s="21"/>
      <c r="P32" s="21"/>
      <c r="Q32" s="1"/>
      <c r="R32" s="1">
        <f t="shared" si="1"/>
        <v>0</v>
      </c>
      <c r="S32" s="1"/>
      <c r="T32" s="1"/>
      <c r="U32" s="1"/>
      <c r="V32" s="1"/>
      <c r="W32" s="1"/>
    </row>
    <row r="33" spans="1:16384" x14ac:dyDescent="0.2">
      <c r="A33" s="1"/>
      <c r="B33" s="12"/>
      <c r="C33" s="13"/>
      <c r="D33" s="12"/>
      <c r="E33" s="12"/>
      <c r="F33" s="12"/>
      <c r="G33" s="19"/>
      <c r="H33" s="16"/>
      <c r="I33" s="12"/>
      <c r="J33" s="13"/>
      <c r="K33" s="12"/>
      <c r="L33" s="12"/>
      <c r="M33" s="21"/>
      <c r="N33" s="21"/>
      <c r="O33" s="21"/>
      <c r="P33" s="21"/>
      <c r="Q33" s="1"/>
      <c r="R33" s="1"/>
      <c r="S33" s="1"/>
      <c r="T33" s="1"/>
      <c r="U33" s="1"/>
      <c r="V33" s="1"/>
      <c r="W33" s="1"/>
    </row>
    <row r="34" spans="1:16384" ht="25.5" x14ac:dyDescent="0.2">
      <c r="A34" s="1">
        <v>3</v>
      </c>
      <c r="B34" s="12" t="s">
        <v>422</v>
      </c>
      <c r="C34" s="13"/>
      <c r="D34" s="12"/>
      <c r="E34" s="12"/>
      <c r="F34" s="12"/>
      <c r="G34" s="19"/>
      <c r="H34" s="20" t="s">
        <v>381</v>
      </c>
      <c r="I34" s="12"/>
      <c r="J34" s="13"/>
      <c r="K34" s="12"/>
      <c r="L34" s="12"/>
      <c r="M34" s="17">
        <v>122429919668</v>
      </c>
      <c r="N34" s="17">
        <f>+N35</f>
        <v>40165071443</v>
      </c>
      <c r="O34" s="21"/>
      <c r="P34" s="21"/>
      <c r="Q34" s="1"/>
      <c r="R34" s="1"/>
      <c r="S34" s="1"/>
      <c r="T34" s="1"/>
      <c r="U34" s="1"/>
      <c r="V34" s="1"/>
      <c r="W34" s="1"/>
    </row>
    <row r="35" spans="1:16384" ht="25.5" x14ac:dyDescent="0.2">
      <c r="A35" s="1">
        <v>4</v>
      </c>
      <c r="B35" s="12" t="s">
        <v>285</v>
      </c>
      <c r="C35" s="13"/>
      <c r="D35" s="12"/>
      <c r="E35" s="12"/>
      <c r="F35" s="12"/>
      <c r="G35" s="19"/>
      <c r="H35" s="20" t="s">
        <v>217</v>
      </c>
      <c r="I35" s="12"/>
      <c r="J35" s="13"/>
      <c r="K35" s="12"/>
      <c r="L35" s="12"/>
      <c r="M35" s="17">
        <v>122429919668</v>
      </c>
      <c r="N35" s="17">
        <f>+N39+N70</f>
        <v>40165071443</v>
      </c>
      <c r="O35" s="21"/>
      <c r="P35" s="21"/>
      <c r="Q35" s="1"/>
      <c r="R35" s="1"/>
      <c r="S35" s="1"/>
      <c r="T35" s="1"/>
      <c r="U35" s="1"/>
      <c r="V35" s="1"/>
      <c r="W35" s="1"/>
    </row>
    <row r="36" spans="1:16384" ht="38.25" x14ac:dyDescent="0.2">
      <c r="A36" s="1">
        <v>5</v>
      </c>
      <c r="B36" s="12"/>
      <c r="C36" s="13"/>
      <c r="D36" s="12"/>
      <c r="E36" s="18">
        <v>450</v>
      </c>
      <c r="F36" s="12" t="s">
        <v>268</v>
      </c>
      <c r="G36" s="19"/>
      <c r="H36" s="16" t="s">
        <v>626</v>
      </c>
      <c r="I36" s="18">
        <v>3</v>
      </c>
      <c r="J36" s="13" t="s">
        <v>211</v>
      </c>
      <c r="K36" s="18"/>
      <c r="L36" s="12"/>
      <c r="M36" s="14"/>
      <c r="N36" s="14"/>
      <c r="O36" s="21"/>
      <c r="P36" s="21"/>
      <c r="Q36" s="1"/>
      <c r="R36" s="1"/>
      <c r="S36" s="1"/>
      <c r="T36" s="1"/>
      <c r="U36" s="1"/>
      <c r="V36" s="1"/>
      <c r="W36" s="1"/>
    </row>
    <row r="37" spans="1:16384" ht="38.25" x14ac:dyDescent="0.2">
      <c r="A37" s="1">
        <v>5</v>
      </c>
      <c r="B37" s="12"/>
      <c r="C37" s="13"/>
      <c r="D37" s="12"/>
      <c r="E37" s="18">
        <v>449</v>
      </c>
      <c r="F37" s="12" t="s">
        <v>268</v>
      </c>
      <c r="G37" s="19"/>
      <c r="H37" s="16" t="s">
        <v>863</v>
      </c>
      <c r="I37" s="18">
        <v>20</v>
      </c>
      <c r="J37" s="13" t="s">
        <v>440</v>
      </c>
      <c r="K37" s="18"/>
      <c r="L37" s="12"/>
      <c r="M37" s="14"/>
      <c r="N37" s="14"/>
      <c r="O37" s="21"/>
      <c r="P37" s="21"/>
      <c r="Q37" s="1"/>
      <c r="R37" s="1"/>
      <c r="S37" s="1"/>
      <c r="T37" s="1"/>
      <c r="U37" s="1"/>
      <c r="V37" s="1"/>
      <c r="W37" s="1"/>
    </row>
    <row r="38" spans="1:16384" ht="25.5" x14ac:dyDescent="0.2">
      <c r="A38" s="1">
        <v>5</v>
      </c>
      <c r="B38" s="12"/>
      <c r="C38" s="13"/>
      <c r="D38" s="12"/>
      <c r="E38" s="18">
        <v>257</v>
      </c>
      <c r="F38" s="12" t="s">
        <v>268</v>
      </c>
      <c r="G38" s="19"/>
      <c r="H38" s="16" t="s">
        <v>155</v>
      </c>
      <c r="I38" s="18">
        <v>116</v>
      </c>
      <c r="J38" s="13" t="s">
        <v>286</v>
      </c>
      <c r="K38" s="18"/>
      <c r="L38" s="12"/>
      <c r="M38" s="14"/>
      <c r="N38" s="14"/>
      <c r="O38" s="21"/>
      <c r="P38" s="21"/>
      <c r="Q38" s="1"/>
      <c r="R38" s="1"/>
      <c r="S38" s="1"/>
      <c r="T38" s="1"/>
      <c r="U38" s="1"/>
      <c r="V38" s="1"/>
      <c r="W38" s="1"/>
    </row>
    <row r="39" spans="1:16384" x14ac:dyDescent="0.2">
      <c r="A39" s="1">
        <v>6</v>
      </c>
      <c r="B39" s="12" t="s">
        <v>857</v>
      </c>
      <c r="C39" s="13"/>
      <c r="D39" s="12"/>
      <c r="E39" s="12"/>
      <c r="F39" s="12"/>
      <c r="G39" s="19"/>
      <c r="H39" s="20" t="s">
        <v>287</v>
      </c>
      <c r="I39" s="12"/>
      <c r="J39" s="13"/>
      <c r="K39" s="12"/>
      <c r="L39" s="12"/>
      <c r="M39" s="17">
        <v>121429919668</v>
      </c>
      <c r="N39" s="17">
        <f>+N50+N52+N54+N60+N62+N64+N67</f>
        <v>40165071443</v>
      </c>
      <c r="O39" s="21"/>
      <c r="P39" s="21"/>
      <c r="Q39" s="1"/>
      <c r="R39" s="1"/>
      <c r="S39" s="1"/>
      <c r="T39" s="1"/>
      <c r="U39" s="1"/>
      <c r="V39" s="1"/>
      <c r="W39" s="1"/>
    </row>
    <row r="40" spans="1:16384" ht="25.5" x14ac:dyDescent="0.2">
      <c r="A40" s="1">
        <v>7</v>
      </c>
      <c r="B40" s="12"/>
      <c r="C40" s="13"/>
      <c r="D40" s="12" t="s">
        <v>115</v>
      </c>
      <c r="E40" s="18">
        <v>456</v>
      </c>
      <c r="F40" s="12" t="s">
        <v>1080</v>
      </c>
      <c r="G40" s="19"/>
      <c r="H40" s="16" t="s">
        <v>196</v>
      </c>
      <c r="I40" s="18">
        <v>8000</v>
      </c>
      <c r="J40" s="13" t="s">
        <v>843</v>
      </c>
      <c r="K40" s="18"/>
      <c r="L40" s="12"/>
      <c r="M40" s="14"/>
      <c r="N40" s="14"/>
      <c r="O40" s="21"/>
      <c r="P40" s="21"/>
      <c r="Q40" s="1"/>
      <c r="R40" s="1"/>
      <c r="S40" s="1"/>
      <c r="T40" s="1"/>
      <c r="U40" s="1"/>
      <c r="V40" s="1"/>
      <c r="W40" s="1"/>
    </row>
    <row r="41" spans="1:16384" ht="25.5" x14ac:dyDescent="0.2">
      <c r="A41" s="12"/>
      <c r="B41" s="18"/>
      <c r="C41" s="12"/>
      <c r="D41" s="19" t="s">
        <v>115</v>
      </c>
      <c r="E41" s="18">
        <v>457</v>
      </c>
      <c r="F41" s="18" t="s">
        <v>1116</v>
      </c>
      <c r="G41" s="13"/>
      <c r="H41" s="16" t="s">
        <v>1153</v>
      </c>
      <c r="I41" s="18">
        <v>170</v>
      </c>
      <c r="J41" s="12" t="s">
        <v>1154</v>
      </c>
      <c r="K41" s="19"/>
      <c r="L41" s="16"/>
      <c r="M41" s="18"/>
      <c r="N41" s="13"/>
      <c r="O41" s="12"/>
      <c r="P41" s="18"/>
      <c r="Q41" s="12"/>
      <c r="R41" s="19"/>
      <c r="S41" s="16"/>
      <c r="T41" s="18"/>
      <c r="U41" s="13"/>
      <c r="V41" s="12"/>
      <c r="W41" s="18"/>
      <c r="X41" s="12"/>
      <c r="Y41" s="19"/>
      <c r="Z41" s="16"/>
      <c r="AA41" s="18"/>
      <c r="AB41" s="13"/>
      <c r="AC41" s="12"/>
      <c r="AD41" s="18"/>
      <c r="AE41" s="12"/>
      <c r="AF41" s="19"/>
      <c r="AG41" s="16"/>
      <c r="AH41" s="18"/>
      <c r="AI41" s="13"/>
      <c r="AJ41" s="12"/>
      <c r="AK41" s="18"/>
      <c r="AL41" s="12"/>
      <c r="AM41" s="19"/>
      <c r="AN41" s="16"/>
      <c r="AO41" s="18"/>
      <c r="AP41" s="13"/>
      <c r="AQ41" s="12"/>
      <c r="AR41" s="18"/>
      <c r="AS41" s="12"/>
      <c r="AT41" s="19"/>
      <c r="AU41" s="16"/>
      <c r="AV41" s="18"/>
      <c r="AW41" s="13"/>
      <c r="AX41" s="12"/>
      <c r="AY41" s="18"/>
      <c r="AZ41" s="12"/>
      <c r="BA41" s="19"/>
      <c r="BB41" s="16"/>
      <c r="BC41" s="18"/>
      <c r="BD41" s="13"/>
      <c r="BE41" s="12"/>
      <c r="BF41" s="18"/>
      <c r="BG41" s="12"/>
      <c r="BH41" s="19"/>
      <c r="BI41" s="16"/>
      <c r="BJ41" s="18"/>
      <c r="BK41" s="13"/>
      <c r="BL41" s="12"/>
      <c r="BM41" s="18"/>
      <c r="BN41" s="12"/>
      <c r="BO41" s="19"/>
      <c r="BP41" s="16"/>
      <c r="BQ41" s="18"/>
      <c r="BR41" s="13"/>
      <c r="BS41" s="12"/>
      <c r="BT41" s="18"/>
      <c r="BU41" s="12"/>
      <c r="BV41" s="19"/>
      <c r="BW41" s="16"/>
      <c r="BX41" s="18"/>
      <c r="BY41" s="13"/>
      <c r="BZ41" s="12"/>
      <c r="CA41" s="18"/>
      <c r="CB41" s="12"/>
      <c r="CC41" s="19"/>
      <c r="CD41" s="16"/>
      <c r="CE41" s="18"/>
      <c r="CF41" s="13"/>
      <c r="CG41" s="12"/>
      <c r="CH41" s="18"/>
      <c r="CI41" s="12"/>
      <c r="CJ41" s="19"/>
      <c r="CK41" s="16"/>
      <c r="CL41" s="18"/>
      <c r="CM41" s="13"/>
      <c r="CN41" s="12"/>
      <c r="CO41" s="18"/>
      <c r="CP41" s="12"/>
      <c r="CQ41" s="19"/>
      <c r="CR41" s="16"/>
      <c r="CS41" s="18"/>
      <c r="CT41" s="13"/>
      <c r="CU41" s="12"/>
      <c r="CV41" s="18"/>
      <c r="CW41" s="12"/>
      <c r="CX41" s="19"/>
      <c r="CY41" s="16"/>
      <c r="CZ41" s="18"/>
      <c r="DA41" s="13"/>
      <c r="DB41" s="12"/>
      <c r="DC41" s="18"/>
      <c r="DD41" s="12"/>
      <c r="DE41" s="19"/>
      <c r="DF41" s="16"/>
      <c r="DG41" s="18"/>
      <c r="DH41" s="13"/>
      <c r="DI41" s="12"/>
      <c r="DJ41" s="18"/>
      <c r="DK41" s="12"/>
      <c r="DL41" s="19"/>
      <c r="DM41" s="16"/>
      <c r="DN41" s="18"/>
      <c r="DO41" s="13"/>
      <c r="DP41" s="12"/>
      <c r="DQ41" s="18"/>
      <c r="DR41" s="12"/>
      <c r="DS41" s="19"/>
      <c r="DT41" s="16"/>
      <c r="DU41" s="18"/>
      <c r="DV41" s="13"/>
      <c r="DW41" s="12"/>
      <c r="DX41" s="18"/>
      <c r="DY41" s="12"/>
      <c r="DZ41" s="19"/>
      <c r="EA41" s="16"/>
      <c r="EB41" s="18"/>
      <c r="EC41" s="13"/>
      <c r="ED41" s="12"/>
      <c r="EE41" s="18"/>
      <c r="EF41" s="12"/>
      <c r="EG41" s="19"/>
      <c r="EH41" s="16"/>
      <c r="EI41" s="18"/>
      <c r="EJ41" s="13"/>
      <c r="EK41" s="12"/>
      <c r="EL41" s="18"/>
      <c r="EM41" s="12"/>
      <c r="EN41" s="19"/>
      <c r="EO41" s="16"/>
      <c r="EP41" s="18"/>
      <c r="EQ41" s="13"/>
      <c r="ER41" s="12"/>
      <c r="ES41" s="18"/>
      <c r="ET41" s="12"/>
      <c r="EU41" s="19"/>
      <c r="EV41" s="16"/>
      <c r="EW41" s="18"/>
      <c r="EX41" s="13"/>
      <c r="EY41" s="12"/>
      <c r="EZ41" s="18"/>
      <c r="FA41" s="12"/>
      <c r="FB41" s="19"/>
      <c r="FC41" s="16"/>
      <c r="FD41" s="18"/>
      <c r="FE41" s="13"/>
      <c r="FF41" s="12"/>
      <c r="FG41" s="18"/>
      <c r="FH41" s="12"/>
      <c r="FI41" s="19"/>
      <c r="FJ41" s="16"/>
      <c r="FK41" s="18"/>
      <c r="FL41" s="13"/>
      <c r="FM41" s="12"/>
      <c r="FN41" s="18"/>
      <c r="FO41" s="12"/>
      <c r="FP41" s="19"/>
      <c r="FQ41" s="16"/>
      <c r="FR41" s="18"/>
      <c r="FS41" s="13"/>
      <c r="FT41" s="12"/>
      <c r="FU41" s="18"/>
      <c r="FV41" s="12"/>
      <c r="FW41" s="19"/>
      <c r="FX41" s="16"/>
      <c r="FY41" s="18"/>
      <c r="FZ41" s="13"/>
      <c r="GA41" s="12"/>
      <c r="GB41" s="18"/>
      <c r="GC41" s="12"/>
      <c r="GD41" s="19"/>
      <c r="GE41" s="16"/>
      <c r="GF41" s="18"/>
      <c r="GG41" s="13"/>
      <c r="GH41" s="12"/>
      <c r="GI41" s="18"/>
      <c r="GJ41" s="12"/>
      <c r="GK41" s="19"/>
      <c r="GL41" s="16"/>
      <c r="GM41" s="18"/>
      <c r="GN41" s="13"/>
      <c r="GO41" s="12"/>
      <c r="GP41" s="18"/>
      <c r="GQ41" s="12"/>
      <c r="GR41" s="19"/>
      <c r="GS41" s="16"/>
      <c r="GT41" s="18"/>
      <c r="GU41" s="13"/>
      <c r="GV41" s="12"/>
      <c r="GW41" s="18"/>
      <c r="GX41" s="12"/>
      <c r="GY41" s="19"/>
      <c r="GZ41" s="16"/>
      <c r="HA41" s="18"/>
      <c r="HB41" s="13"/>
      <c r="HC41" s="12"/>
      <c r="HD41" s="18"/>
      <c r="HE41" s="12"/>
      <c r="HF41" s="19"/>
      <c r="HG41" s="16"/>
      <c r="HH41" s="18"/>
      <c r="HI41" s="13"/>
      <c r="HJ41" s="12"/>
      <c r="HK41" s="18"/>
      <c r="HL41" s="12"/>
      <c r="HM41" s="19"/>
      <c r="HN41" s="16"/>
      <c r="HO41" s="18"/>
      <c r="HP41" s="13"/>
      <c r="HQ41" s="12"/>
      <c r="HR41" s="18"/>
      <c r="HS41" s="12"/>
      <c r="HT41" s="19"/>
      <c r="HU41" s="16"/>
      <c r="HV41" s="18"/>
      <c r="HW41" s="13"/>
      <c r="HX41" s="12"/>
      <c r="HY41" s="18"/>
      <c r="HZ41" s="12"/>
      <c r="IA41" s="19"/>
      <c r="IB41" s="16"/>
      <c r="IC41" s="18"/>
      <c r="ID41" s="13"/>
      <c r="IE41" s="12"/>
      <c r="IF41" s="18"/>
      <c r="IG41" s="12"/>
      <c r="IH41" s="19"/>
      <c r="II41" s="16"/>
      <c r="IJ41" s="18"/>
      <c r="IK41" s="13"/>
      <c r="IL41" s="12"/>
      <c r="IM41" s="18"/>
      <c r="IN41" s="12"/>
      <c r="IO41" s="19"/>
      <c r="IP41" s="16"/>
      <c r="IQ41" s="18"/>
      <c r="IR41" s="13"/>
      <c r="IS41" s="12"/>
      <c r="IT41" s="18"/>
      <c r="IU41" s="12"/>
      <c r="IV41" s="19"/>
      <c r="IW41" s="16"/>
      <c r="IX41" s="18"/>
      <c r="IY41" s="13"/>
      <c r="IZ41" s="12"/>
      <c r="JA41" s="18"/>
      <c r="JB41" s="12"/>
      <c r="JC41" s="19"/>
      <c r="JD41" s="16"/>
      <c r="JE41" s="18"/>
      <c r="JF41" s="13"/>
      <c r="JG41" s="12"/>
      <c r="JH41" s="18"/>
      <c r="JI41" s="12"/>
      <c r="JJ41" s="19"/>
      <c r="JK41" s="16"/>
      <c r="JL41" s="18"/>
      <c r="JM41" s="13"/>
      <c r="JN41" s="12"/>
      <c r="JO41" s="18"/>
      <c r="JP41" s="12"/>
      <c r="JQ41" s="19"/>
      <c r="JR41" s="16"/>
      <c r="JS41" s="18"/>
      <c r="JT41" s="13"/>
      <c r="JU41" s="12"/>
      <c r="JV41" s="18"/>
      <c r="JW41" s="12"/>
      <c r="JX41" s="19"/>
      <c r="JY41" s="16"/>
      <c r="JZ41" s="18"/>
      <c r="KA41" s="13"/>
      <c r="KB41" s="12"/>
      <c r="KC41" s="18"/>
      <c r="KD41" s="12"/>
      <c r="KE41" s="19"/>
      <c r="KF41" s="16"/>
      <c r="KG41" s="18"/>
      <c r="KH41" s="13"/>
      <c r="KI41" s="12"/>
      <c r="KJ41" s="18"/>
      <c r="KK41" s="12"/>
      <c r="KL41" s="19"/>
      <c r="KM41" s="16"/>
      <c r="KN41" s="18"/>
      <c r="KO41" s="13"/>
      <c r="KP41" s="12"/>
      <c r="KQ41" s="18"/>
      <c r="KR41" s="12"/>
      <c r="KS41" s="19"/>
      <c r="KT41" s="16"/>
      <c r="KU41" s="18"/>
      <c r="KV41" s="13"/>
      <c r="KW41" s="12"/>
      <c r="KX41" s="18"/>
      <c r="KY41" s="12"/>
      <c r="KZ41" s="19"/>
      <c r="LA41" s="16"/>
      <c r="LB41" s="18"/>
      <c r="LC41" s="13"/>
      <c r="LD41" s="12"/>
      <c r="LE41" s="18"/>
      <c r="LF41" s="12"/>
      <c r="LG41" s="19"/>
      <c r="LH41" s="16"/>
      <c r="LI41" s="18"/>
      <c r="LJ41" s="13"/>
      <c r="LK41" s="12"/>
      <c r="LL41" s="18"/>
      <c r="LM41" s="12"/>
      <c r="LN41" s="19"/>
      <c r="LO41" s="16"/>
      <c r="LP41" s="18"/>
      <c r="LQ41" s="13"/>
      <c r="LR41" s="12"/>
      <c r="LS41" s="18"/>
      <c r="LT41" s="12"/>
      <c r="LU41" s="19"/>
      <c r="LV41" s="16"/>
      <c r="LW41" s="18"/>
      <c r="LX41" s="13"/>
      <c r="LY41" s="12"/>
      <c r="LZ41" s="18"/>
      <c r="MA41" s="12"/>
      <c r="MB41" s="19"/>
      <c r="MC41" s="16"/>
      <c r="MD41" s="18"/>
      <c r="ME41" s="13"/>
      <c r="MF41" s="12"/>
      <c r="MG41" s="18"/>
      <c r="MH41" s="12"/>
      <c r="MI41" s="19"/>
      <c r="MJ41" s="16"/>
      <c r="MK41" s="18"/>
      <c r="ML41" s="13"/>
      <c r="MM41" s="12"/>
      <c r="MN41" s="18"/>
      <c r="MO41" s="12"/>
      <c r="MP41" s="19"/>
      <c r="MQ41" s="16"/>
      <c r="MR41" s="18"/>
      <c r="MS41" s="13"/>
      <c r="MT41" s="12"/>
      <c r="MU41" s="18"/>
      <c r="MV41" s="12"/>
      <c r="MW41" s="19"/>
      <c r="MX41" s="16"/>
      <c r="MY41" s="18"/>
      <c r="MZ41" s="13"/>
      <c r="NA41" s="12"/>
      <c r="NB41" s="18"/>
      <c r="NC41" s="12"/>
      <c r="ND41" s="19"/>
      <c r="NE41" s="16"/>
      <c r="NF41" s="18"/>
      <c r="NG41" s="13"/>
      <c r="NH41" s="12"/>
      <c r="NI41" s="18"/>
      <c r="NJ41" s="12"/>
      <c r="NK41" s="19"/>
      <c r="NL41" s="16"/>
      <c r="NM41" s="18"/>
      <c r="NN41" s="13"/>
      <c r="NO41" s="12"/>
      <c r="NP41" s="18"/>
      <c r="NQ41" s="12"/>
      <c r="NR41" s="19"/>
      <c r="NS41" s="16"/>
      <c r="NT41" s="18"/>
      <c r="NU41" s="13"/>
      <c r="NV41" s="12"/>
      <c r="NW41" s="18"/>
      <c r="NX41" s="12"/>
      <c r="NY41" s="19"/>
      <c r="NZ41" s="16"/>
      <c r="OA41" s="18"/>
      <c r="OB41" s="13"/>
      <c r="OC41" s="12"/>
      <c r="OD41" s="18"/>
      <c r="OE41" s="12"/>
      <c r="OF41" s="19"/>
      <c r="OG41" s="16"/>
      <c r="OH41" s="18"/>
      <c r="OI41" s="13"/>
      <c r="OJ41" s="12"/>
      <c r="OK41" s="18"/>
      <c r="OL41" s="12"/>
      <c r="OM41" s="19"/>
      <c r="ON41" s="16"/>
      <c r="OO41" s="18"/>
      <c r="OP41" s="13"/>
      <c r="OQ41" s="12"/>
      <c r="OR41" s="18"/>
      <c r="OS41" s="12"/>
      <c r="OT41" s="19"/>
      <c r="OU41" s="16"/>
      <c r="OV41" s="18"/>
      <c r="OW41" s="13"/>
      <c r="OX41" s="12"/>
      <c r="OY41" s="18"/>
      <c r="OZ41" s="12"/>
      <c r="PA41" s="19"/>
      <c r="PB41" s="16"/>
      <c r="PC41" s="18"/>
      <c r="PD41" s="13"/>
      <c r="PE41" s="12"/>
      <c r="PF41" s="18"/>
      <c r="PG41" s="12"/>
      <c r="PH41" s="19"/>
      <c r="PI41" s="16"/>
      <c r="PJ41" s="18"/>
      <c r="PK41" s="13"/>
      <c r="PL41" s="12"/>
      <c r="PM41" s="18"/>
      <c r="PN41" s="12"/>
      <c r="PO41" s="19"/>
      <c r="PP41" s="16"/>
      <c r="PQ41" s="18"/>
      <c r="PR41" s="13"/>
      <c r="PS41" s="12"/>
      <c r="PT41" s="18"/>
      <c r="PU41" s="12"/>
      <c r="PV41" s="19"/>
      <c r="PW41" s="16"/>
      <c r="PX41" s="18"/>
      <c r="PY41" s="13"/>
      <c r="PZ41" s="12"/>
      <c r="QA41" s="18"/>
      <c r="QB41" s="12"/>
      <c r="QC41" s="19"/>
      <c r="QD41" s="16"/>
      <c r="QE41" s="18"/>
      <c r="QF41" s="13"/>
      <c r="QG41" s="12"/>
      <c r="QH41" s="18"/>
      <c r="QI41" s="12"/>
      <c r="QJ41" s="19"/>
      <c r="QK41" s="16"/>
      <c r="QL41" s="18"/>
      <c r="QM41" s="13"/>
      <c r="QN41" s="12"/>
      <c r="QO41" s="18"/>
      <c r="QP41" s="12"/>
      <c r="QQ41" s="19"/>
      <c r="QR41" s="16"/>
      <c r="QS41" s="18"/>
      <c r="QT41" s="13"/>
      <c r="QU41" s="12"/>
      <c r="QV41" s="18"/>
      <c r="QW41" s="12"/>
      <c r="QX41" s="19"/>
      <c r="QY41" s="16"/>
      <c r="QZ41" s="18"/>
      <c r="RA41" s="13"/>
      <c r="RB41" s="12"/>
      <c r="RC41" s="18"/>
      <c r="RD41" s="12"/>
      <c r="RE41" s="19"/>
      <c r="RF41" s="16"/>
      <c r="RG41" s="18"/>
      <c r="RH41" s="13"/>
      <c r="RI41" s="12"/>
      <c r="RJ41" s="18"/>
      <c r="RK41" s="12"/>
      <c r="RL41" s="19"/>
      <c r="RM41" s="16"/>
      <c r="RN41" s="18"/>
      <c r="RO41" s="13"/>
      <c r="RP41" s="12"/>
      <c r="RQ41" s="18"/>
      <c r="RR41" s="12"/>
      <c r="RS41" s="19"/>
      <c r="RT41" s="16"/>
      <c r="RU41" s="18"/>
      <c r="RV41" s="13"/>
      <c r="RW41" s="12"/>
      <c r="RX41" s="18"/>
      <c r="RY41" s="12"/>
      <c r="RZ41" s="19"/>
      <c r="SA41" s="16"/>
      <c r="SB41" s="18"/>
      <c r="SC41" s="13"/>
      <c r="SD41" s="12"/>
      <c r="SE41" s="18"/>
      <c r="SF41" s="12"/>
      <c r="SG41" s="19"/>
      <c r="SH41" s="16"/>
      <c r="SI41" s="18"/>
      <c r="SJ41" s="13"/>
      <c r="SK41" s="12"/>
      <c r="SL41" s="18"/>
      <c r="SM41" s="12"/>
      <c r="SN41" s="19"/>
      <c r="SO41" s="16"/>
      <c r="SP41" s="18"/>
      <c r="SQ41" s="13"/>
      <c r="SR41" s="12"/>
      <c r="SS41" s="18"/>
      <c r="ST41" s="12"/>
      <c r="SU41" s="19"/>
      <c r="SV41" s="16"/>
      <c r="SW41" s="18"/>
      <c r="SX41" s="13"/>
      <c r="SY41" s="12"/>
      <c r="SZ41" s="18"/>
      <c r="TA41" s="12"/>
      <c r="TB41" s="19"/>
      <c r="TC41" s="16"/>
      <c r="TD41" s="18"/>
      <c r="TE41" s="13"/>
      <c r="TF41" s="12"/>
      <c r="TG41" s="18"/>
      <c r="TH41" s="12"/>
      <c r="TI41" s="19"/>
      <c r="TJ41" s="16"/>
      <c r="TK41" s="18"/>
      <c r="TL41" s="13"/>
      <c r="TM41" s="12"/>
      <c r="TN41" s="18"/>
      <c r="TO41" s="12"/>
      <c r="TP41" s="19"/>
      <c r="TQ41" s="16"/>
      <c r="TR41" s="18"/>
      <c r="TS41" s="13"/>
      <c r="TT41" s="12"/>
      <c r="TU41" s="18"/>
      <c r="TV41" s="12"/>
      <c r="TW41" s="19"/>
      <c r="TX41" s="16"/>
      <c r="TY41" s="18"/>
      <c r="TZ41" s="13"/>
      <c r="UA41" s="12"/>
      <c r="UB41" s="18"/>
      <c r="UC41" s="12"/>
      <c r="UD41" s="19"/>
      <c r="UE41" s="16"/>
      <c r="UF41" s="18"/>
      <c r="UG41" s="13"/>
      <c r="UH41" s="12"/>
      <c r="UI41" s="18"/>
      <c r="UJ41" s="12"/>
      <c r="UK41" s="19"/>
      <c r="UL41" s="16"/>
      <c r="UM41" s="18"/>
      <c r="UN41" s="13"/>
      <c r="UO41" s="12"/>
      <c r="UP41" s="18"/>
      <c r="UQ41" s="12"/>
      <c r="UR41" s="19"/>
      <c r="US41" s="16"/>
      <c r="UT41" s="18"/>
      <c r="UU41" s="13"/>
      <c r="UV41" s="12"/>
      <c r="UW41" s="18"/>
      <c r="UX41" s="12"/>
      <c r="UY41" s="19"/>
      <c r="UZ41" s="16"/>
      <c r="VA41" s="18"/>
      <c r="VB41" s="13"/>
      <c r="VC41" s="12"/>
      <c r="VD41" s="18"/>
      <c r="VE41" s="12"/>
      <c r="VF41" s="19"/>
      <c r="VG41" s="16"/>
      <c r="VH41" s="18"/>
      <c r="VI41" s="13"/>
      <c r="VJ41" s="12"/>
      <c r="VK41" s="18"/>
      <c r="VL41" s="12"/>
      <c r="VM41" s="19"/>
      <c r="VN41" s="16"/>
      <c r="VO41" s="18"/>
      <c r="VP41" s="13"/>
      <c r="VQ41" s="12"/>
      <c r="VR41" s="18"/>
      <c r="VS41" s="12"/>
      <c r="VT41" s="19"/>
      <c r="VU41" s="16"/>
      <c r="VV41" s="18"/>
      <c r="VW41" s="13"/>
      <c r="VX41" s="12"/>
      <c r="VY41" s="18"/>
      <c r="VZ41" s="12"/>
      <c r="WA41" s="19"/>
      <c r="WB41" s="16"/>
      <c r="WC41" s="18"/>
      <c r="WD41" s="13"/>
      <c r="WE41" s="12"/>
      <c r="WF41" s="18"/>
      <c r="WG41" s="12"/>
      <c r="WH41" s="19"/>
      <c r="WI41" s="16"/>
      <c r="WJ41" s="18"/>
      <c r="WK41" s="13"/>
      <c r="WL41" s="12"/>
      <c r="WM41" s="18"/>
      <c r="WN41" s="12"/>
      <c r="WO41" s="19"/>
      <c r="WP41" s="16"/>
      <c r="WQ41" s="18"/>
      <c r="WR41" s="13"/>
      <c r="WS41" s="12"/>
      <c r="WT41" s="18"/>
      <c r="WU41" s="12"/>
      <c r="WV41" s="19"/>
      <c r="WW41" s="16"/>
      <c r="WX41" s="18"/>
      <c r="WY41" s="13"/>
      <c r="WZ41" s="12"/>
      <c r="XA41" s="18"/>
      <c r="XB41" s="12"/>
      <c r="XC41" s="19"/>
      <c r="XD41" s="16"/>
      <c r="XE41" s="18"/>
      <c r="XF41" s="13"/>
      <c r="XG41" s="12"/>
      <c r="XH41" s="18"/>
      <c r="XI41" s="12"/>
      <c r="XJ41" s="19"/>
      <c r="XK41" s="16"/>
      <c r="XL41" s="18"/>
      <c r="XM41" s="13"/>
      <c r="XN41" s="12"/>
      <c r="XO41" s="18"/>
      <c r="XP41" s="12"/>
      <c r="XQ41" s="19"/>
      <c r="XR41" s="16"/>
      <c r="XS41" s="18"/>
      <c r="XT41" s="13"/>
      <c r="XU41" s="12"/>
      <c r="XV41" s="18"/>
      <c r="XW41" s="12"/>
      <c r="XX41" s="19"/>
      <c r="XY41" s="16"/>
      <c r="XZ41" s="18"/>
      <c r="YA41" s="13"/>
      <c r="YB41" s="12"/>
      <c r="YC41" s="18"/>
      <c r="YD41" s="12"/>
      <c r="YE41" s="19"/>
      <c r="YF41" s="16"/>
      <c r="YG41" s="18"/>
      <c r="YH41" s="13"/>
      <c r="YI41" s="12"/>
      <c r="YJ41" s="18"/>
      <c r="YK41" s="12"/>
      <c r="YL41" s="19"/>
      <c r="YM41" s="16"/>
      <c r="YN41" s="18"/>
      <c r="YO41" s="13"/>
      <c r="YP41" s="12"/>
      <c r="YQ41" s="18"/>
      <c r="YR41" s="12"/>
      <c r="YS41" s="19"/>
      <c r="YT41" s="16"/>
      <c r="YU41" s="18"/>
      <c r="YV41" s="13"/>
      <c r="YW41" s="12"/>
      <c r="YX41" s="18"/>
      <c r="YY41" s="12"/>
      <c r="YZ41" s="19"/>
      <c r="ZA41" s="16"/>
      <c r="ZB41" s="18"/>
      <c r="ZC41" s="13"/>
      <c r="ZD41" s="12"/>
      <c r="ZE41" s="18"/>
      <c r="ZF41" s="12"/>
      <c r="ZG41" s="19"/>
      <c r="ZH41" s="16"/>
      <c r="ZI41" s="18"/>
      <c r="ZJ41" s="13"/>
      <c r="ZK41" s="12"/>
      <c r="ZL41" s="18"/>
      <c r="ZM41" s="12"/>
      <c r="ZN41" s="19"/>
      <c r="ZO41" s="16"/>
      <c r="ZP41" s="18"/>
      <c r="ZQ41" s="13"/>
      <c r="ZR41" s="12"/>
      <c r="ZS41" s="18"/>
      <c r="ZT41" s="12"/>
      <c r="ZU41" s="19"/>
      <c r="ZV41" s="16"/>
      <c r="ZW41" s="18"/>
      <c r="ZX41" s="13"/>
      <c r="ZY41" s="12"/>
      <c r="ZZ41" s="18"/>
      <c r="AAA41" s="12"/>
      <c r="AAB41" s="19"/>
      <c r="AAC41" s="16"/>
      <c r="AAD41" s="18"/>
      <c r="AAE41" s="13"/>
      <c r="AAF41" s="12"/>
      <c r="AAG41" s="18"/>
      <c r="AAH41" s="12"/>
      <c r="AAI41" s="19"/>
      <c r="AAJ41" s="16"/>
      <c r="AAK41" s="18"/>
      <c r="AAL41" s="13"/>
      <c r="AAM41" s="12"/>
      <c r="AAN41" s="18"/>
      <c r="AAO41" s="12"/>
      <c r="AAP41" s="19"/>
      <c r="AAQ41" s="16"/>
      <c r="AAR41" s="18"/>
      <c r="AAS41" s="13"/>
      <c r="AAT41" s="12"/>
      <c r="AAU41" s="18"/>
      <c r="AAV41" s="12"/>
      <c r="AAW41" s="19"/>
      <c r="AAX41" s="16"/>
      <c r="AAY41" s="18"/>
      <c r="AAZ41" s="13"/>
      <c r="ABA41" s="12"/>
      <c r="ABB41" s="18"/>
      <c r="ABC41" s="12"/>
      <c r="ABD41" s="19"/>
      <c r="ABE41" s="16"/>
      <c r="ABF41" s="18"/>
      <c r="ABG41" s="13"/>
      <c r="ABH41" s="12"/>
      <c r="ABI41" s="18"/>
      <c r="ABJ41" s="12"/>
      <c r="ABK41" s="19"/>
      <c r="ABL41" s="16"/>
      <c r="ABM41" s="18"/>
      <c r="ABN41" s="13"/>
      <c r="ABO41" s="12"/>
      <c r="ABP41" s="18"/>
      <c r="ABQ41" s="12"/>
      <c r="ABR41" s="19"/>
      <c r="ABS41" s="16"/>
      <c r="ABT41" s="18"/>
      <c r="ABU41" s="13"/>
      <c r="ABV41" s="12"/>
      <c r="ABW41" s="18"/>
      <c r="ABX41" s="12"/>
      <c r="ABY41" s="19"/>
      <c r="ABZ41" s="16"/>
      <c r="ACA41" s="18"/>
      <c r="ACB41" s="13"/>
      <c r="ACC41" s="12"/>
      <c r="ACD41" s="18"/>
      <c r="ACE41" s="12"/>
      <c r="ACF41" s="19"/>
      <c r="ACG41" s="16"/>
      <c r="ACH41" s="18"/>
      <c r="ACI41" s="13"/>
      <c r="ACJ41" s="12"/>
      <c r="ACK41" s="18"/>
      <c r="ACL41" s="12"/>
      <c r="ACM41" s="19"/>
      <c r="ACN41" s="16"/>
      <c r="ACO41" s="18"/>
      <c r="ACP41" s="13"/>
      <c r="ACQ41" s="12"/>
      <c r="ACR41" s="18"/>
      <c r="ACS41" s="12"/>
      <c r="ACT41" s="19"/>
      <c r="ACU41" s="16"/>
      <c r="ACV41" s="18"/>
      <c r="ACW41" s="13"/>
      <c r="ACX41" s="12"/>
      <c r="ACY41" s="18"/>
      <c r="ACZ41" s="12"/>
      <c r="ADA41" s="19"/>
      <c r="ADB41" s="16"/>
      <c r="ADC41" s="18"/>
      <c r="ADD41" s="13"/>
      <c r="ADE41" s="12"/>
      <c r="ADF41" s="18"/>
      <c r="ADG41" s="12"/>
      <c r="ADH41" s="19"/>
      <c r="ADI41" s="16"/>
      <c r="ADJ41" s="18"/>
      <c r="ADK41" s="13"/>
      <c r="ADL41" s="12"/>
      <c r="ADM41" s="18"/>
      <c r="ADN41" s="12"/>
      <c r="ADO41" s="19"/>
      <c r="ADP41" s="16"/>
      <c r="ADQ41" s="18"/>
      <c r="ADR41" s="13"/>
      <c r="ADS41" s="12"/>
      <c r="ADT41" s="18"/>
      <c r="ADU41" s="12"/>
      <c r="ADV41" s="19"/>
      <c r="ADW41" s="16"/>
      <c r="ADX41" s="18"/>
      <c r="ADY41" s="13"/>
      <c r="ADZ41" s="12"/>
      <c r="AEA41" s="18"/>
      <c r="AEB41" s="12"/>
      <c r="AEC41" s="19"/>
      <c r="AED41" s="16"/>
      <c r="AEE41" s="18"/>
      <c r="AEF41" s="13"/>
      <c r="AEG41" s="12"/>
      <c r="AEH41" s="18"/>
      <c r="AEI41" s="12"/>
      <c r="AEJ41" s="19"/>
      <c r="AEK41" s="16"/>
      <c r="AEL41" s="18"/>
      <c r="AEM41" s="13"/>
      <c r="AEN41" s="12"/>
      <c r="AEO41" s="18"/>
      <c r="AEP41" s="12"/>
      <c r="AEQ41" s="19"/>
      <c r="AER41" s="16"/>
      <c r="AES41" s="18"/>
      <c r="AET41" s="13"/>
      <c r="AEU41" s="12"/>
      <c r="AEV41" s="18"/>
      <c r="AEW41" s="12"/>
      <c r="AEX41" s="19"/>
      <c r="AEY41" s="16"/>
      <c r="AEZ41" s="18"/>
      <c r="AFA41" s="13"/>
      <c r="AFB41" s="12"/>
      <c r="AFC41" s="18"/>
      <c r="AFD41" s="12"/>
      <c r="AFE41" s="19"/>
      <c r="AFF41" s="16"/>
      <c r="AFG41" s="18"/>
      <c r="AFH41" s="13"/>
      <c r="AFI41" s="12"/>
      <c r="AFJ41" s="18"/>
      <c r="AFK41" s="12"/>
      <c r="AFL41" s="19"/>
      <c r="AFM41" s="16"/>
      <c r="AFN41" s="18"/>
      <c r="AFO41" s="13"/>
      <c r="AFP41" s="12"/>
      <c r="AFQ41" s="18"/>
      <c r="AFR41" s="12"/>
      <c r="AFS41" s="19"/>
      <c r="AFT41" s="16"/>
      <c r="AFU41" s="18"/>
      <c r="AFV41" s="13"/>
      <c r="AFW41" s="12"/>
      <c r="AFX41" s="18"/>
      <c r="AFY41" s="12"/>
      <c r="AFZ41" s="19"/>
      <c r="AGA41" s="16"/>
      <c r="AGB41" s="18"/>
      <c r="AGC41" s="13"/>
      <c r="AGD41" s="12"/>
      <c r="AGE41" s="18"/>
      <c r="AGF41" s="12"/>
      <c r="AGG41" s="19"/>
      <c r="AGH41" s="16"/>
      <c r="AGI41" s="18"/>
      <c r="AGJ41" s="13"/>
      <c r="AGK41" s="12"/>
      <c r="AGL41" s="18"/>
      <c r="AGM41" s="12"/>
      <c r="AGN41" s="19"/>
      <c r="AGO41" s="16"/>
      <c r="AGP41" s="18"/>
      <c r="AGQ41" s="13"/>
      <c r="AGR41" s="12"/>
      <c r="AGS41" s="18"/>
      <c r="AGT41" s="12"/>
      <c r="AGU41" s="19"/>
      <c r="AGV41" s="16"/>
      <c r="AGW41" s="18"/>
      <c r="AGX41" s="13"/>
      <c r="AGY41" s="12"/>
      <c r="AGZ41" s="18"/>
      <c r="AHA41" s="12"/>
      <c r="AHB41" s="19"/>
      <c r="AHC41" s="16"/>
      <c r="AHD41" s="18"/>
      <c r="AHE41" s="13"/>
      <c r="AHF41" s="12"/>
      <c r="AHG41" s="18"/>
      <c r="AHH41" s="12"/>
      <c r="AHI41" s="19"/>
      <c r="AHJ41" s="16"/>
      <c r="AHK41" s="18"/>
      <c r="AHL41" s="13"/>
      <c r="AHM41" s="12"/>
      <c r="AHN41" s="18"/>
      <c r="AHO41" s="12"/>
      <c r="AHP41" s="19"/>
      <c r="AHQ41" s="16"/>
      <c r="AHR41" s="18"/>
      <c r="AHS41" s="13"/>
      <c r="AHT41" s="12"/>
      <c r="AHU41" s="18"/>
      <c r="AHV41" s="12"/>
      <c r="AHW41" s="19"/>
      <c r="AHX41" s="16"/>
      <c r="AHY41" s="18"/>
      <c r="AHZ41" s="13"/>
      <c r="AIA41" s="12"/>
      <c r="AIB41" s="18"/>
      <c r="AIC41" s="12"/>
      <c r="AID41" s="19"/>
      <c r="AIE41" s="16"/>
      <c r="AIF41" s="18"/>
      <c r="AIG41" s="13"/>
      <c r="AIH41" s="12"/>
      <c r="AII41" s="18"/>
      <c r="AIJ41" s="12"/>
      <c r="AIK41" s="19"/>
      <c r="AIL41" s="16"/>
      <c r="AIM41" s="18"/>
      <c r="AIN41" s="13"/>
      <c r="AIO41" s="12"/>
      <c r="AIP41" s="18"/>
      <c r="AIQ41" s="12"/>
      <c r="AIR41" s="19"/>
      <c r="AIS41" s="16"/>
      <c r="AIT41" s="18"/>
      <c r="AIU41" s="13"/>
      <c r="AIV41" s="12"/>
      <c r="AIW41" s="18"/>
      <c r="AIX41" s="12"/>
      <c r="AIY41" s="19"/>
      <c r="AIZ41" s="16"/>
      <c r="AJA41" s="18"/>
      <c r="AJB41" s="13"/>
      <c r="AJC41" s="12"/>
      <c r="AJD41" s="18"/>
      <c r="AJE41" s="12"/>
      <c r="AJF41" s="19"/>
      <c r="AJG41" s="16"/>
      <c r="AJH41" s="18"/>
      <c r="AJI41" s="13"/>
      <c r="AJJ41" s="12"/>
      <c r="AJK41" s="18"/>
      <c r="AJL41" s="12"/>
      <c r="AJM41" s="19"/>
      <c r="AJN41" s="16"/>
      <c r="AJO41" s="18"/>
      <c r="AJP41" s="13"/>
      <c r="AJQ41" s="12"/>
      <c r="AJR41" s="18"/>
      <c r="AJS41" s="12"/>
      <c r="AJT41" s="19"/>
      <c r="AJU41" s="16"/>
      <c r="AJV41" s="18"/>
      <c r="AJW41" s="13"/>
      <c r="AJX41" s="12"/>
      <c r="AJY41" s="18"/>
      <c r="AJZ41" s="12"/>
      <c r="AKA41" s="19"/>
      <c r="AKB41" s="16"/>
      <c r="AKC41" s="18"/>
      <c r="AKD41" s="13"/>
      <c r="AKE41" s="12"/>
      <c r="AKF41" s="18"/>
      <c r="AKG41" s="12"/>
      <c r="AKH41" s="19"/>
      <c r="AKI41" s="16"/>
      <c r="AKJ41" s="18"/>
      <c r="AKK41" s="13"/>
      <c r="AKL41" s="12"/>
      <c r="AKM41" s="18"/>
      <c r="AKN41" s="12"/>
      <c r="AKO41" s="19"/>
      <c r="AKP41" s="16"/>
      <c r="AKQ41" s="18"/>
      <c r="AKR41" s="13"/>
      <c r="AKS41" s="12"/>
      <c r="AKT41" s="18"/>
      <c r="AKU41" s="12"/>
      <c r="AKV41" s="19"/>
      <c r="AKW41" s="16"/>
      <c r="AKX41" s="18"/>
      <c r="AKY41" s="13"/>
      <c r="AKZ41" s="12"/>
      <c r="ALA41" s="18"/>
      <c r="ALB41" s="12"/>
      <c r="ALC41" s="19"/>
      <c r="ALD41" s="16"/>
      <c r="ALE41" s="18"/>
      <c r="ALF41" s="13"/>
      <c r="ALG41" s="12"/>
      <c r="ALH41" s="18"/>
      <c r="ALI41" s="12"/>
      <c r="ALJ41" s="19"/>
      <c r="ALK41" s="16"/>
      <c r="ALL41" s="18"/>
      <c r="ALM41" s="13"/>
      <c r="ALN41" s="12"/>
      <c r="ALO41" s="18"/>
      <c r="ALP41" s="12"/>
      <c r="ALQ41" s="19"/>
      <c r="ALR41" s="16"/>
      <c r="ALS41" s="18"/>
      <c r="ALT41" s="13"/>
      <c r="ALU41" s="12"/>
      <c r="ALV41" s="18"/>
      <c r="ALW41" s="12"/>
      <c r="ALX41" s="19"/>
      <c r="ALY41" s="16"/>
      <c r="ALZ41" s="18"/>
      <c r="AMA41" s="13"/>
      <c r="AMB41" s="12"/>
      <c r="AMC41" s="18"/>
      <c r="AMD41" s="12"/>
      <c r="AME41" s="19"/>
      <c r="AMF41" s="16"/>
      <c r="AMG41" s="18"/>
      <c r="AMH41" s="13"/>
      <c r="AMI41" s="12"/>
      <c r="AMJ41" s="18"/>
      <c r="AMK41" s="12"/>
      <c r="AML41" s="19"/>
      <c r="AMM41" s="16"/>
      <c r="AMN41" s="18"/>
      <c r="AMO41" s="13"/>
      <c r="AMP41" s="12"/>
      <c r="AMQ41" s="18"/>
      <c r="AMR41" s="12"/>
      <c r="AMS41" s="19"/>
      <c r="AMT41" s="16"/>
      <c r="AMU41" s="18"/>
      <c r="AMV41" s="13"/>
      <c r="AMW41" s="12"/>
      <c r="AMX41" s="18"/>
      <c r="AMY41" s="12"/>
      <c r="AMZ41" s="19"/>
      <c r="ANA41" s="16"/>
      <c r="ANB41" s="18"/>
      <c r="ANC41" s="13"/>
      <c r="AND41" s="12"/>
      <c r="ANE41" s="18"/>
      <c r="ANF41" s="12"/>
      <c r="ANG41" s="19"/>
      <c r="ANH41" s="16"/>
      <c r="ANI41" s="18"/>
      <c r="ANJ41" s="13"/>
      <c r="ANK41" s="12"/>
      <c r="ANL41" s="18"/>
      <c r="ANM41" s="12"/>
      <c r="ANN41" s="19"/>
      <c r="ANO41" s="16"/>
      <c r="ANP41" s="18"/>
      <c r="ANQ41" s="13"/>
      <c r="ANR41" s="12"/>
      <c r="ANS41" s="18"/>
      <c r="ANT41" s="12"/>
      <c r="ANU41" s="19"/>
      <c r="ANV41" s="16"/>
      <c r="ANW41" s="18"/>
      <c r="ANX41" s="13"/>
      <c r="ANY41" s="12"/>
      <c r="ANZ41" s="18"/>
      <c r="AOA41" s="12"/>
      <c r="AOB41" s="19"/>
      <c r="AOC41" s="16"/>
      <c r="AOD41" s="18"/>
      <c r="AOE41" s="13"/>
      <c r="AOF41" s="12"/>
      <c r="AOG41" s="18"/>
      <c r="AOH41" s="12"/>
      <c r="AOI41" s="19"/>
      <c r="AOJ41" s="16"/>
      <c r="AOK41" s="18"/>
      <c r="AOL41" s="13"/>
      <c r="AOM41" s="12"/>
      <c r="AON41" s="18"/>
      <c r="AOO41" s="12"/>
      <c r="AOP41" s="19"/>
      <c r="AOQ41" s="16"/>
      <c r="AOR41" s="18"/>
      <c r="AOS41" s="13"/>
      <c r="AOT41" s="12"/>
      <c r="AOU41" s="18"/>
      <c r="AOV41" s="12"/>
      <c r="AOW41" s="19"/>
      <c r="AOX41" s="16"/>
      <c r="AOY41" s="18"/>
      <c r="AOZ41" s="13"/>
      <c r="APA41" s="12"/>
      <c r="APB41" s="18"/>
      <c r="APC41" s="12"/>
      <c r="APD41" s="19"/>
      <c r="APE41" s="16"/>
      <c r="APF41" s="18"/>
      <c r="APG41" s="13"/>
      <c r="APH41" s="12"/>
      <c r="API41" s="18"/>
      <c r="APJ41" s="12"/>
      <c r="APK41" s="19"/>
      <c r="APL41" s="16"/>
      <c r="APM41" s="18"/>
      <c r="APN41" s="13"/>
      <c r="APO41" s="12"/>
      <c r="APP41" s="18"/>
      <c r="APQ41" s="12"/>
      <c r="APR41" s="19"/>
      <c r="APS41" s="16"/>
      <c r="APT41" s="18"/>
      <c r="APU41" s="13"/>
      <c r="APV41" s="12"/>
      <c r="APW41" s="18"/>
      <c r="APX41" s="12"/>
      <c r="APY41" s="19"/>
      <c r="APZ41" s="16"/>
      <c r="AQA41" s="18"/>
      <c r="AQB41" s="13"/>
      <c r="AQC41" s="12"/>
      <c r="AQD41" s="18"/>
      <c r="AQE41" s="12"/>
      <c r="AQF41" s="19"/>
      <c r="AQG41" s="16"/>
      <c r="AQH41" s="18"/>
      <c r="AQI41" s="13"/>
      <c r="AQJ41" s="12"/>
      <c r="AQK41" s="18"/>
      <c r="AQL41" s="12"/>
      <c r="AQM41" s="19"/>
      <c r="AQN41" s="16"/>
      <c r="AQO41" s="18"/>
      <c r="AQP41" s="13"/>
      <c r="AQQ41" s="12"/>
      <c r="AQR41" s="18"/>
      <c r="AQS41" s="12"/>
      <c r="AQT41" s="19"/>
      <c r="AQU41" s="16"/>
      <c r="AQV41" s="18"/>
      <c r="AQW41" s="13"/>
      <c r="AQX41" s="12"/>
      <c r="AQY41" s="18"/>
      <c r="AQZ41" s="12"/>
      <c r="ARA41" s="19"/>
      <c r="ARB41" s="16"/>
      <c r="ARC41" s="18"/>
      <c r="ARD41" s="13"/>
      <c r="ARE41" s="12"/>
      <c r="ARF41" s="18"/>
      <c r="ARG41" s="12"/>
      <c r="ARH41" s="19"/>
      <c r="ARI41" s="16"/>
      <c r="ARJ41" s="18"/>
      <c r="ARK41" s="13"/>
      <c r="ARL41" s="12"/>
      <c r="ARM41" s="18"/>
      <c r="ARN41" s="12"/>
      <c r="ARO41" s="19"/>
      <c r="ARP41" s="16"/>
      <c r="ARQ41" s="18"/>
      <c r="ARR41" s="13"/>
      <c r="ARS41" s="12"/>
      <c r="ART41" s="18"/>
      <c r="ARU41" s="12"/>
      <c r="ARV41" s="19"/>
      <c r="ARW41" s="16"/>
      <c r="ARX41" s="18"/>
      <c r="ARY41" s="13"/>
      <c r="ARZ41" s="12"/>
      <c r="ASA41" s="18"/>
      <c r="ASB41" s="12"/>
      <c r="ASC41" s="19"/>
      <c r="ASD41" s="16"/>
      <c r="ASE41" s="18"/>
      <c r="ASF41" s="13"/>
      <c r="ASG41" s="12"/>
      <c r="ASH41" s="18"/>
      <c r="ASI41" s="12"/>
      <c r="ASJ41" s="19"/>
      <c r="ASK41" s="16"/>
      <c r="ASL41" s="18"/>
      <c r="ASM41" s="13"/>
      <c r="ASN41" s="12"/>
      <c r="ASO41" s="18"/>
      <c r="ASP41" s="12"/>
      <c r="ASQ41" s="19"/>
      <c r="ASR41" s="16"/>
      <c r="ASS41" s="18"/>
      <c r="AST41" s="13"/>
      <c r="ASU41" s="12"/>
      <c r="ASV41" s="18"/>
      <c r="ASW41" s="12"/>
      <c r="ASX41" s="19"/>
      <c r="ASY41" s="16"/>
      <c r="ASZ41" s="18"/>
      <c r="ATA41" s="13"/>
      <c r="ATB41" s="12"/>
      <c r="ATC41" s="18"/>
      <c r="ATD41" s="12"/>
      <c r="ATE41" s="19"/>
      <c r="ATF41" s="16"/>
      <c r="ATG41" s="18"/>
      <c r="ATH41" s="13"/>
      <c r="ATI41" s="12"/>
      <c r="ATJ41" s="18"/>
      <c r="ATK41" s="12"/>
      <c r="ATL41" s="19"/>
      <c r="ATM41" s="16"/>
      <c r="ATN41" s="18"/>
      <c r="ATO41" s="13"/>
      <c r="ATP41" s="12"/>
      <c r="ATQ41" s="18"/>
      <c r="ATR41" s="12"/>
      <c r="ATS41" s="19"/>
      <c r="ATT41" s="16"/>
      <c r="ATU41" s="18"/>
      <c r="ATV41" s="13"/>
      <c r="ATW41" s="12"/>
      <c r="ATX41" s="18"/>
      <c r="ATY41" s="12"/>
      <c r="ATZ41" s="19"/>
      <c r="AUA41" s="16"/>
      <c r="AUB41" s="18"/>
      <c r="AUC41" s="13"/>
      <c r="AUD41" s="12"/>
      <c r="AUE41" s="18"/>
      <c r="AUF41" s="12"/>
      <c r="AUG41" s="19"/>
      <c r="AUH41" s="16"/>
      <c r="AUI41" s="18"/>
      <c r="AUJ41" s="13"/>
      <c r="AUK41" s="12"/>
      <c r="AUL41" s="18"/>
      <c r="AUM41" s="12"/>
      <c r="AUN41" s="19"/>
      <c r="AUO41" s="16"/>
      <c r="AUP41" s="18"/>
      <c r="AUQ41" s="13"/>
      <c r="AUR41" s="12"/>
      <c r="AUS41" s="18"/>
      <c r="AUT41" s="12"/>
      <c r="AUU41" s="19"/>
      <c r="AUV41" s="16"/>
      <c r="AUW41" s="18"/>
      <c r="AUX41" s="13"/>
      <c r="AUY41" s="12"/>
      <c r="AUZ41" s="18"/>
      <c r="AVA41" s="12"/>
      <c r="AVB41" s="19"/>
      <c r="AVC41" s="16"/>
      <c r="AVD41" s="18"/>
      <c r="AVE41" s="13"/>
      <c r="AVF41" s="12"/>
      <c r="AVG41" s="18"/>
      <c r="AVH41" s="12"/>
      <c r="AVI41" s="19"/>
      <c r="AVJ41" s="16"/>
      <c r="AVK41" s="18"/>
      <c r="AVL41" s="13"/>
      <c r="AVM41" s="12"/>
      <c r="AVN41" s="18"/>
      <c r="AVO41" s="12"/>
      <c r="AVP41" s="19"/>
      <c r="AVQ41" s="16"/>
      <c r="AVR41" s="18"/>
      <c r="AVS41" s="13"/>
      <c r="AVT41" s="12"/>
      <c r="AVU41" s="18"/>
      <c r="AVV41" s="12"/>
      <c r="AVW41" s="19"/>
      <c r="AVX41" s="16"/>
      <c r="AVY41" s="18"/>
      <c r="AVZ41" s="13"/>
      <c r="AWA41" s="12"/>
      <c r="AWB41" s="18"/>
      <c r="AWC41" s="12"/>
      <c r="AWD41" s="19"/>
      <c r="AWE41" s="16"/>
      <c r="AWF41" s="18"/>
      <c r="AWG41" s="13"/>
      <c r="AWH41" s="12"/>
      <c r="AWI41" s="18"/>
      <c r="AWJ41" s="12"/>
      <c r="AWK41" s="19"/>
      <c r="AWL41" s="16"/>
      <c r="AWM41" s="18"/>
      <c r="AWN41" s="13"/>
      <c r="AWO41" s="12"/>
      <c r="AWP41" s="18"/>
      <c r="AWQ41" s="12"/>
      <c r="AWR41" s="19"/>
      <c r="AWS41" s="16"/>
      <c r="AWT41" s="18"/>
      <c r="AWU41" s="13"/>
      <c r="AWV41" s="12"/>
      <c r="AWW41" s="18"/>
      <c r="AWX41" s="12"/>
      <c r="AWY41" s="19"/>
      <c r="AWZ41" s="16"/>
      <c r="AXA41" s="18"/>
      <c r="AXB41" s="13"/>
      <c r="AXC41" s="12"/>
      <c r="AXD41" s="18"/>
      <c r="AXE41" s="12"/>
      <c r="AXF41" s="19"/>
      <c r="AXG41" s="16"/>
      <c r="AXH41" s="18"/>
      <c r="AXI41" s="13"/>
      <c r="AXJ41" s="12"/>
      <c r="AXK41" s="18"/>
      <c r="AXL41" s="12"/>
      <c r="AXM41" s="19"/>
      <c r="AXN41" s="16"/>
      <c r="AXO41" s="18"/>
      <c r="AXP41" s="13"/>
      <c r="AXQ41" s="12"/>
      <c r="AXR41" s="18"/>
      <c r="AXS41" s="12"/>
      <c r="AXT41" s="19"/>
      <c r="AXU41" s="16"/>
      <c r="AXV41" s="18"/>
      <c r="AXW41" s="13"/>
      <c r="AXX41" s="12"/>
      <c r="AXY41" s="18"/>
      <c r="AXZ41" s="12"/>
      <c r="AYA41" s="19"/>
      <c r="AYB41" s="16"/>
      <c r="AYC41" s="18"/>
      <c r="AYD41" s="13"/>
      <c r="AYE41" s="12"/>
      <c r="AYF41" s="18"/>
      <c r="AYG41" s="12"/>
      <c r="AYH41" s="19"/>
      <c r="AYI41" s="16"/>
      <c r="AYJ41" s="18"/>
      <c r="AYK41" s="13"/>
      <c r="AYL41" s="12"/>
      <c r="AYM41" s="18"/>
      <c r="AYN41" s="12"/>
      <c r="AYO41" s="19"/>
      <c r="AYP41" s="16"/>
      <c r="AYQ41" s="18"/>
      <c r="AYR41" s="13"/>
      <c r="AYS41" s="12"/>
      <c r="AYT41" s="18"/>
      <c r="AYU41" s="12"/>
      <c r="AYV41" s="19"/>
      <c r="AYW41" s="16"/>
      <c r="AYX41" s="18"/>
      <c r="AYY41" s="13"/>
      <c r="AYZ41" s="12"/>
      <c r="AZA41" s="18"/>
      <c r="AZB41" s="12"/>
      <c r="AZC41" s="19"/>
      <c r="AZD41" s="16"/>
      <c r="AZE41" s="18"/>
      <c r="AZF41" s="13"/>
      <c r="AZG41" s="12"/>
      <c r="AZH41" s="18"/>
      <c r="AZI41" s="12"/>
      <c r="AZJ41" s="19"/>
      <c r="AZK41" s="16"/>
      <c r="AZL41" s="18"/>
      <c r="AZM41" s="13"/>
      <c r="AZN41" s="12"/>
      <c r="AZO41" s="18"/>
      <c r="AZP41" s="12"/>
      <c r="AZQ41" s="19"/>
      <c r="AZR41" s="16"/>
      <c r="AZS41" s="18"/>
      <c r="AZT41" s="13"/>
      <c r="AZU41" s="12"/>
      <c r="AZV41" s="18"/>
      <c r="AZW41" s="12"/>
      <c r="AZX41" s="19"/>
      <c r="AZY41" s="16"/>
      <c r="AZZ41" s="18"/>
      <c r="BAA41" s="13"/>
      <c r="BAB41" s="12"/>
      <c r="BAC41" s="18"/>
      <c r="BAD41" s="12"/>
      <c r="BAE41" s="19"/>
      <c r="BAF41" s="16"/>
      <c r="BAG41" s="18"/>
      <c r="BAH41" s="13"/>
      <c r="BAI41" s="12"/>
      <c r="BAJ41" s="18"/>
      <c r="BAK41" s="12"/>
      <c r="BAL41" s="19"/>
      <c r="BAM41" s="16"/>
      <c r="BAN41" s="18"/>
      <c r="BAO41" s="13"/>
      <c r="BAP41" s="12"/>
      <c r="BAQ41" s="18"/>
      <c r="BAR41" s="12"/>
      <c r="BAS41" s="19"/>
      <c r="BAT41" s="16"/>
      <c r="BAU41" s="18"/>
      <c r="BAV41" s="13"/>
      <c r="BAW41" s="12"/>
      <c r="BAX41" s="18"/>
      <c r="BAY41" s="12"/>
      <c r="BAZ41" s="19"/>
      <c r="BBA41" s="16"/>
      <c r="BBB41" s="18"/>
      <c r="BBC41" s="13"/>
      <c r="BBD41" s="12"/>
      <c r="BBE41" s="18"/>
      <c r="BBF41" s="12"/>
      <c r="BBG41" s="19"/>
      <c r="BBH41" s="16"/>
      <c r="BBI41" s="18"/>
      <c r="BBJ41" s="13"/>
      <c r="BBK41" s="12"/>
      <c r="BBL41" s="18"/>
      <c r="BBM41" s="12"/>
      <c r="BBN41" s="19"/>
      <c r="BBO41" s="16"/>
      <c r="BBP41" s="18"/>
      <c r="BBQ41" s="13"/>
      <c r="BBR41" s="12"/>
      <c r="BBS41" s="18"/>
      <c r="BBT41" s="12"/>
      <c r="BBU41" s="19"/>
      <c r="BBV41" s="16"/>
      <c r="BBW41" s="18"/>
      <c r="BBX41" s="13"/>
      <c r="BBY41" s="12"/>
      <c r="BBZ41" s="18"/>
      <c r="BCA41" s="12"/>
      <c r="BCB41" s="19"/>
      <c r="BCC41" s="16"/>
      <c r="BCD41" s="18"/>
      <c r="BCE41" s="13"/>
      <c r="BCF41" s="12"/>
      <c r="BCG41" s="18"/>
      <c r="BCH41" s="12"/>
      <c r="BCI41" s="19"/>
      <c r="BCJ41" s="16"/>
      <c r="BCK41" s="18"/>
      <c r="BCL41" s="13"/>
      <c r="BCM41" s="12"/>
      <c r="BCN41" s="18"/>
      <c r="BCO41" s="12"/>
      <c r="BCP41" s="19"/>
      <c r="BCQ41" s="16"/>
      <c r="BCR41" s="18"/>
      <c r="BCS41" s="13"/>
      <c r="BCT41" s="12"/>
      <c r="BCU41" s="18"/>
      <c r="BCV41" s="12"/>
      <c r="BCW41" s="19"/>
      <c r="BCX41" s="16"/>
      <c r="BCY41" s="18"/>
      <c r="BCZ41" s="13"/>
      <c r="BDA41" s="12"/>
      <c r="BDB41" s="18"/>
      <c r="BDC41" s="12"/>
      <c r="BDD41" s="19"/>
      <c r="BDE41" s="16"/>
      <c r="BDF41" s="18"/>
      <c r="BDG41" s="13"/>
      <c r="BDH41" s="12"/>
      <c r="BDI41" s="18"/>
      <c r="BDJ41" s="12"/>
      <c r="BDK41" s="19"/>
      <c r="BDL41" s="16"/>
      <c r="BDM41" s="18"/>
      <c r="BDN41" s="13"/>
      <c r="BDO41" s="12"/>
      <c r="BDP41" s="18"/>
      <c r="BDQ41" s="12"/>
      <c r="BDR41" s="19"/>
      <c r="BDS41" s="16"/>
      <c r="BDT41" s="18"/>
      <c r="BDU41" s="13"/>
      <c r="BDV41" s="12"/>
      <c r="BDW41" s="18"/>
      <c r="BDX41" s="12"/>
      <c r="BDY41" s="19"/>
      <c r="BDZ41" s="16"/>
      <c r="BEA41" s="18"/>
      <c r="BEB41" s="13"/>
      <c r="BEC41" s="12"/>
      <c r="BED41" s="18"/>
      <c r="BEE41" s="12"/>
      <c r="BEF41" s="19"/>
      <c r="BEG41" s="16"/>
      <c r="BEH41" s="18"/>
      <c r="BEI41" s="13"/>
      <c r="BEJ41" s="12"/>
      <c r="BEK41" s="18"/>
      <c r="BEL41" s="12"/>
      <c r="BEM41" s="19"/>
      <c r="BEN41" s="16"/>
      <c r="BEO41" s="18"/>
      <c r="BEP41" s="13"/>
      <c r="BEQ41" s="12"/>
      <c r="BER41" s="18"/>
      <c r="BES41" s="12"/>
      <c r="BET41" s="19"/>
      <c r="BEU41" s="16"/>
      <c r="BEV41" s="18"/>
      <c r="BEW41" s="13"/>
      <c r="BEX41" s="12"/>
      <c r="BEY41" s="18"/>
      <c r="BEZ41" s="12"/>
      <c r="BFA41" s="19"/>
      <c r="BFB41" s="16"/>
      <c r="BFC41" s="18"/>
      <c r="BFD41" s="13"/>
      <c r="BFE41" s="12"/>
      <c r="BFF41" s="18"/>
      <c r="BFG41" s="12"/>
      <c r="BFH41" s="19"/>
      <c r="BFI41" s="16"/>
      <c r="BFJ41" s="18"/>
      <c r="BFK41" s="13"/>
      <c r="BFL41" s="12"/>
      <c r="BFM41" s="18"/>
      <c r="BFN41" s="12"/>
      <c r="BFO41" s="19"/>
      <c r="BFP41" s="16"/>
      <c r="BFQ41" s="18"/>
      <c r="BFR41" s="13"/>
      <c r="BFS41" s="12"/>
      <c r="BFT41" s="18"/>
      <c r="BFU41" s="12"/>
      <c r="BFV41" s="19"/>
      <c r="BFW41" s="16"/>
      <c r="BFX41" s="18"/>
      <c r="BFY41" s="13"/>
      <c r="BFZ41" s="12"/>
      <c r="BGA41" s="18"/>
      <c r="BGB41" s="12"/>
      <c r="BGC41" s="19"/>
      <c r="BGD41" s="16"/>
      <c r="BGE41" s="18"/>
      <c r="BGF41" s="13"/>
      <c r="BGG41" s="12"/>
      <c r="BGH41" s="18"/>
      <c r="BGI41" s="12"/>
      <c r="BGJ41" s="19"/>
      <c r="BGK41" s="16"/>
      <c r="BGL41" s="18"/>
      <c r="BGM41" s="13"/>
      <c r="BGN41" s="12"/>
      <c r="BGO41" s="18"/>
      <c r="BGP41" s="12"/>
      <c r="BGQ41" s="19"/>
      <c r="BGR41" s="16"/>
      <c r="BGS41" s="18"/>
      <c r="BGT41" s="13"/>
      <c r="BGU41" s="12"/>
      <c r="BGV41" s="18"/>
      <c r="BGW41" s="12"/>
      <c r="BGX41" s="19"/>
      <c r="BGY41" s="16"/>
      <c r="BGZ41" s="18"/>
      <c r="BHA41" s="13"/>
      <c r="BHB41" s="12"/>
      <c r="BHC41" s="18"/>
      <c r="BHD41" s="12"/>
      <c r="BHE41" s="19"/>
      <c r="BHF41" s="16"/>
      <c r="BHG41" s="18"/>
      <c r="BHH41" s="13"/>
      <c r="BHI41" s="12"/>
      <c r="BHJ41" s="18"/>
      <c r="BHK41" s="12"/>
      <c r="BHL41" s="19"/>
      <c r="BHM41" s="16"/>
      <c r="BHN41" s="18"/>
      <c r="BHO41" s="13"/>
      <c r="BHP41" s="12"/>
      <c r="BHQ41" s="18"/>
      <c r="BHR41" s="12"/>
      <c r="BHS41" s="19"/>
      <c r="BHT41" s="16"/>
      <c r="BHU41" s="18"/>
      <c r="BHV41" s="13"/>
      <c r="BHW41" s="12"/>
      <c r="BHX41" s="18"/>
      <c r="BHY41" s="12"/>
      <c r="BHZ41" s="19"/>
      <c r="BIA41" s="16"/>
      <c r="BIB41" s="18"/>
      <c r="BIC41" s="13"/>
      <c r="BID41" s="12"/>
      <c r="BIE41" s="18"/>
      <c r="BIF41" s="12"/>
      <c r="BIG41" s="19"/>
      <c r="BIH41" s="16"/>
      <c r="BII41" s="18"/>
      <c r="BIJ41" s="13"/>
      <c r="BIK41" s="12"/>
      <c r="BIL41" s="18"/>
      <c r="BIM41" s="12"/>
      <c r="BIN41" s="19"/>
      <c r="BIO41" s="16"/>
      <c r="BIP41" s="18"/>
      <c r="BIQ41" s="13"/>
      <c r="BIR41" s="12"/>
      <c r="BIS41" s="18"/>
      <c r="BIT41" s="12"/>
      <c r="BIU41" s="19"/>
      <c r="BIV41" s="16"/>
      <c r="BIW41" s="18"/>
      <c r="BIX41" s="13"/>
      <c r="BIY41" s="12"/>
      <c r="BIZ41" s="18"/>
      <c r="BJA41" s="12"/>
      <c r="BJB41" s="19"/>
      <c r="BJC41" s="16"/>
      <c r="BJD41" s="18"/>
      <c r="BJE41" s="13"/>
      <c r="BJF41" s="12"/>
      <c r="BJG41" s="18"/>
      <c r="BJH41" s="12"/>
      <c r="BJI41" s="19"/>
      <c r="BJJ41" s="16"/>
      <c r="BJK41" s="18"/>
      <c r="BJL41" s="13"/>
      <c r="BJM41" s="12"/>
      <c r="BJN41" s="18"/>
      <c r="BJO41" s="12"/>
      <c r="BJP41" s="19"/>
      <c r="BJQ41" s="16"/>
      <c r="BJR41" s="18"/>
      <c r="BJS41" s="13"/>
      <c r="BJT41" s="12"/>
      <c r="BJU41" s="18"/>
      <c r="BJV41" s="12"/>
      <c r="BJW41" s="19"/>
      <c r="BJX41" s="16"/>
      <c r="BJY41" s="18"/>
      <c r="BJZ41" s="13"/>
      <c r="BKA41" s="12"/>
      <c r="BKB41" s="18"/>
      <c r="BKC41" s="12"/>
      <c r="BKD41" s="19"/>
      <c r="BKE41" s="16"/>
      <c r="BKF41" s="18"/>
      <c r="BKG41" s="13"/>
      <c r="BKH41" s="12"/>
      <c r="BKI41" s="18"/>
      <c r="BKJ41" s="12"/>
      <c r="BKK41" s="19"/>
      <c r="BKL41" s="16"/>
      <c r="BKM41" s="18"/>
      <c r="BKN41" s="13"/>
      <c r="BKO41" s="12"/>
      <c r="BKP41" s="18"/>
      <c r="BKQ41" s="12"/>
      <c r="BKR41" s="19"/>
      <c r="BKS41" s="16"/>
      <c r="BKT41" s="18"/>
      <c r="BKU41" s="13"/>
      <c r="BKV41" s="12"/>
      <c r="BKW41" s="18"/>
      <c r="BKX41" s="12"/>
      <c r="BKY41" s="19"/>
      <c r="BKZ41" s="16"/>
      <c r="BLA41" s="18"/>
      <c r="BLB41" s="13"/>
      <c r="BLC41" s="12"/>
      <c r="BLD41" s="18"/>
      <c r="BLE41" s="12"/>
      <c r="BLF41" s="19"/>
      <c r="BLG41" s="16"/>
      <c r="BLH41" s="18"/>
      <c r="BLI41" s="13"/>
      <c r="BLJ41" s="12"/>
      <c r="BLK41" s="18"/>
      <c r="BLL41" s="12"/>
      <c r="BLM41" s="19"/>
      <c r="BLN41" s="16"/>
      <c r="BLO41" s="18"/>
      <c r="BLP41" s="13"/>
      <c r="BLQ41" s="12"/>
      <c r="BLR41" s="18"/>
      <c r="BLS41" s="12"/>
      <c r="BLT41" s="19"/>
      <c r="BLU41" s="16"/>
      <c r="BLV41" s="18"/>
      <c r="BLW41" s="13"/>
      <c r="BLX41" s="12"/>
      <c r="BLY41" s="18"/>
      <c r="BLZ41" s="12"/>
      <c r="BMA41" s="19"/>
      <c r="BMB41" s="16"/>
      <c r="BMC41" s="18"/>
      <c r="BMD41" s="13"/>
      <c r="BME41" s="12"/>
      <c r="BMF41" s="18"/>
      <c r="BMG41" s="12"/>
      <c r="BMH41" s="19"/>
      <c r="BMI41" s="16"/>
      <c r="BMJ41" s="18"/>
      <c r="BMK41" s="13"/>
      <c r="BML41" s="12"/>
      <c r="BMM41" s="18"/>
      <c r="BMN41" s="12"/>
      <c r="BMO41" s="19"/>
      <c r="BMP41" s="16"/>
      <c r="BMQ41" s="18"/>
      <c r="BMR41" s="13"/>
      <c r="BMS41" s="12"/>
      <c r="BMT41" s="18"/>
      <c r="BMU41" s="12"/>
      <c r="BMV41" s="19"/>
      <c r="BMW41" s="16"/>
      <c r="BMX41" s="18"/>
      <c r="BMY41" s="13"/>
      <c r="BMZ41" s="12"/>
      <c r="BNA41" s="18"/>
      <c r="BNB41" s="12"/>
      <c r="BNC41" s="19"/>
      <c r="BND41" s="16"/>
      <c r="BNE41" s="18"/>
      <c r="BNF41" s="13"/>
      <c r="BNG41" s="12"/>
      <c r="BNH41" s="18"/>
      <c r="BNI41" s="12"/>
      <c r="BNJ41" s="19"/>
      <c r="BNK41" s="16"/>
      <c r="BNL41" s="18"/>
      <c r="BNM41" s="13"/>
      <c r="BNN41" s="12"/>
      <c r="BNO41" s="18"/>
      <c r="BNP41" s="12"/>
      <c r="BNQ41" s="19"/>
      <c r="BNR41" s="16"/>
      <c r="BNS41" s="18"/>
      <c r="BNT41" s="13"/>
      <c r="BNU41" s="12"/>
      <c r="BNV41" s="18"/>
      <c r="BNW41" s="12"/>
      <c r="BNX41" s="19"/>
      <c r="BNY41" s="16"/>
      <c r="BNZ41" s="18"/>
      <c r="BOA41" s="13"/>
      <c r="BOB41" s="12"/>
      <c r="BOC41" s="18"/>
      <c r="BOD41" s="12"/>
      <c r="BOE41" s="19"/>
      <c r="BOF41" s="16"/>
      <c r="BOG41" s="18"/>
      <c r="BOH41" s="13"/>
      <c r="BOI41" s="12"/>
      <c r="BOJ41" s="18"/>
      <c r="BOK41" s="12"/>
      <c r="BOL41" s="19"/>
      <c r="BOM41" s="16"/>
      <c r="BON41" s="18"/>
      <c r="BOO41" s="13"/>
      <c r="BOP41" s="12"/>
      <c r="BOQ41" s="18"/>
      <c r="BOR41" s="12"/>
      <c r="BOS41" s="19"/>
      <c r="BOT41" s="16"/>
      <c r="BOU41" s="18"/>
      <c r="BOV41" s="13"/>
      <c r="BOW41" s="12"/>
      <c r="BOX41" s="18"/>
      <c r="BOY41" s="12"/>
      <c r="BOZ41" s="19"/>
      <c r="BPA41" s="16"/>
      <c r="BPB41" s="18"/>
      <c r="BPC41" s="13"/>
      <c r="BPD41" s="12"/>
      <c r="BPE41" s="18"/>
      <c r="BPF41" s="12"/>
      <c r="BPG41" s="19"/>
      <c r="BPH41" s="16"/>
      <c r="BPI41" s="18"/>
      <c r="BPJ41" s="13"/>
      <c r="BPK41" s="12"/>
      <c r="BPL41" s="18"/>
      <c r="BPM41" s="12"/>
      <c r="BPN41" s="19"/>
      <c r="BPO41" s="16"/>
      <c r="BPP41" s="18"/>
      <c r="BPQ41" s="13"/>
      <c r="BPR41" s="12"/>
      <c r="BPS41" s="18"/>
      <c r="BPT41" s="12"/>
      <c r="BPU41" s="19"/>
      <c r="BPV41" s="16"/>
      <c r="BPW41" s="18"/>
      <c r="BPX41" s="13"/>
      <c r="BPY41" s="12"/>
      <c r="BPZ41" s="18"/>
      <c r="BQA41" s="12"/>
      <c r="BQB41" s="19"/>
      <c r="BQC41" s="16"/>
      <c r="BQD41" s="18"/>
      <c r="BQE41" s="13"/>
      <c r="BQF41" s="12"/>
      <c r="BQG41" s="18"/>
      <c r="BQH41" s="12"/>
      <c r="BQI41" s="19"/>
      <c r="BQJ41" s="16"/>
      <c r="BQK41" s="18"/>
      <c r="BQL41" s="13"/>
      <c r="BQM41" s="12"/>
      <c r="BQN41" s="18"/>
      <c r="BQO41" s="12"/>
      <c r="BQP41" s="19"/>
      <c r="BQQ41" s="16"/>
      <c r="BQR41" s="18"/>
      <c r="BQS41" s="13"/>
      <c r="BQT41" s="12"/>
      <c r="BQU41" s="18"/>
      <c r="BQV41" s="12"/>
      <c r="BQW41" s="19"/>
      <c r="BQX41" s="16"/>
      <c r="BQY41" s="18"/>
      <c r="BQZ41" s="13"/>
      <c r="BRA41" s="12"/>
      <c r="BRB41" s="18"/>
      <c r="BRC41" s="12"/>
      <c r="BRD41" s="19"/>
      <c r="BRE41" s="16"/>
      <c r="BRF41" s="18"/>
      <c r="BRG41" s="13"/>
      <c r="BRH41" s="12"/>
      <c r="BRI41" s="18"/>
      <c r="BRJ41" s="12"/>
      <c r="BRK41" s="19"/>
      <c r="BRL41" s="16"/>
      <c r="BRM41" s="18"/>
      <c r="BRN41" s="13"/>
      <c r="BRO41" s="12"/>
      <c r="BRP41" s="18"/>
      <c r="BRQ41" s="12"/>
      <c r="BRR41" s="19"/>
      <c r="BRS41" s="16"/>
      <c r="BRT41" s="18"/>
      <c r="BRU41" s="13"/>
      <c r="BRV41" s="12"/>
      <c r="BRW41" s="18"/>
      <c r="BRX41" s="12"/>
      <c r="BRY41" s="19"/>
      <c r="BRZ41" s="16"/>
      <c r="BSA41" s="18"/>
      <c r="BSB41" s="13"/>
      <c r="BSC41" s="12"/>
      <c r="BSD41" s="18"/>
      <c r="BSE41" s="12"/>
      <c r="BSF41" s="19"/>
      <c r="BSG41" s="16"/>
      <c r="BSH41" s="18"/>
      <c r="BSI41" s="13"/>
      <c r="BSJ41" s="12"/>
      <c r="BSK41" s="18"/>
      <c r="BSL41" s="12"/>
      <c r="BSM41" s="19"/>
      <c r="BSN41" s="16"/>
      <c r="BSO41" s="18"/>
      <c r="BSP41" s="13"/>
      <c r="BSQ41" s="12"/>
      <c r="BSR41" s="18"/>
      <c r="BSS41" s="12"/>
      <c r="BST41" s="19"/>
      <c r="BSU41" s="16"/>
      <c r="BSV41" s="18"/>
      <c r="BSW41" s="13"/>
      <c r="BSX41" s="12"/>
      <c r="BSY41" s="18"/>
      <c r="BSZ41" s="12"/>
      <c r="BTA41" s="19"/>
      <c r="BTB41" s="16"/>
      <c r="BTC41" s="18"/>
      <c r="BTD41" s="13"/>
      <c r="BTE41" s="12"/>
      <c r="BTF41" s="18"/>
      <c r="BTG41" s="12"/>
      <c r="BTH41" s="19"/>
      <c r="BTI41" s="16"/>
      <c r="BTJ41" s="18"/>
      <c r="BTK41" s="13"/>
      <c r="BTL41" s="12"/>
      <c r="BTM41" s="18"/>
      <c r="BTN41" s="12"/>
      <c r="BTO41" s="19"/>
      <c r="BTP41" s="16"/>
      <c r="BTQ41" s="18"/>
      <c r="BTR41" s="13"/>
      <c r="BTS41" s="12"/>
      <c r="BTT41" s="18"/>
      <c r="BTU41" s="12"/>
      <c r="BTV41" s="19"/>
      <c r="BTW41" s="16"/>
      <c r="BTX41" s="18"/>
      <c r="BTY41" s="13"/>
      <c r="BTZ41" s="12"/>
      <c r="BUA41" s="18"/>
      <c r="BUB41" s="12"/>
      <c r="BUC41" s="19"/>
      <c r="BUD41" s="16"/>
      <c r="BUE41" s="18"/>
      <c r="BUF41" s="13"/>
      <c r="BUG41" s="12"/>
      <c r="BUH41" s="18"/>
      <c r="BUI41" s="12"/>
      <c r="BUJ41" s="19"/>
      <c r="BUK41" s="16"/>
      <c r="BUL41" s="18"/>
      <c r="BUM41" s="13"/>
      <c r="BUN41" s="12"/>
      <c r="BUO41" s="18"/>
      <c r="BUP41" s="12"/>
      <c r="BUQ41" s="19"/>
      <c r="BUR41" s="16"/>
      <c r="BUS41" s="18"/>
      <c r="BUT41" s="13"/>
      <c r="BUU41" s="12"/>
      <c r="BUV41" s="18"/>
      <c r="BUW41" s="12"/>
      <c r="BUX41" s="19"/>
      <c r="BUY41" s="16"/>
      <c r="BUZ41" s="18"/>
      <c r="BVA41" s="13"/>
      <c r="BVB41" s="12"/>
      <c r="BVC41" s="18"/>
      <c r="BVD41" s="12"/>
      <c r="BVE41" s="19"/>
      <c r="BVF41" s="16"/>
      <c r="BVG41" s="18"/>
      <c r="BVH41" s="13"/>
      <c r="BVI41" s="12"/>
      <c r="BVJ41" s="18"/>
      <c r="BVK41" s="12"/>
      <c r="BVL41" s="19"/>
      <c r="BVM41" s="16"/>
      <c r="BVN41" s="18"/>
      <c r="BVO41" s="13"/>
      <c r="BVP41" s="12"/>
      <c r="BVQ41" s="18"/>
      <c r="BVR41" s="12"/>
      <c r="BVS41" s="19"/>
      <c r="BVT41" s="16"/>
      <c r="BVU41" s="18"/>
      <c r="BVV41" s="13"/>
      <c r="BVW41" s="12"/>
      <c r="BVX41" s="18"/>
      <c r="BVY41" s="12"/>
      <c r="BVZ41" s="19"/>
      <c r="BWA41" s="16"/>
      <c r="BWB41" s="18"/>
      <c r="BWC41" s="13"/>
      <c r="BWD41" s="12"/>
      <c r="BWE41" s="18"/>
      <c r="BWF41" s="12"/>
      <c r="BWG41" s="19"/>
      <c r="BWH41" s="16"/>
      <c r="BWI41" s="18"/>
      <c r="BWJ41" s="13"/>
      <c r="BWK41" s="12"/>
      <c r="BWL41" s="18"/>
      <c r="BWM41" s="12"/>
      <c r="BWN41" s="19"/>
      <c r="BWO41" s="16"/>
      <c r="BWP41" s="18"/>
      <c r="BWQ41" s="13"/>
      <c r="BWR41" s="12"/>
      <c r="BWS41" s="18"/>
      <c r="BWT41" s="12"/>
      <c r="BWU41" s="19"/>
      <c r="BWV41" s="16"/>
      <c r="BWW41" s="18"/>
      <c r="BWX41" s="13"/>
      <c r="BWY41" s="12"/>
      <c r="BWZ41" s="18"/>
      <c r="BXA41" s="12"/>
      <c r="BXB41" s="19"/>
      <c r="BXC41" s="16"/>
      <c r="BXD41" s="18"/>
      <c r="BXE41" s="13"/>
      <c r="BXF41" s="12"/>
      <c r="BXG41" s="18"/>
      <c r="BXH41" s="12"/>
      <c r="BXI41" s="19"/>
      <c r="BXJ41" s="16"/>
      <c r="BXK41" s="18"/>
      <c r="BXL41" s="13"/>
      <c r="BXM41" s="12"/>
      <c r="BXN41" s="18"/>
      <c r="BXO41" s="12"/>
      <c r="BXP41" s="19"/>
      <c r="BXQ41" s="16"/>
      <c r="BXR41" s="18"/>
      <c r="BXS41" s="13"/>
      <c r="BXT41" s="12"/>
      <c r="BXU41" s="18"/>
      <c r="BXV41" s="12"/>
      <c r="BXW41" s="19"/>
      <c r="BXX41" s="16"/>
      <c r="BXY41" s="18"/>
      <c r="BXZ41" s="13"/>
      <c r="BYA41" s="12"/>
      <c r="BYB41" s="18"/>
      <c r="BYC41" s="12"/>
      <c r="BYD41" s="19"/>
      <c r="BYE41" s="16"/>
      <c r="BYF41" s="18"/>
      <c r="BYG41" s="13"/>
      <c r="BYH41" s="12"/>
      <c r="BYI41" s="18"/>
      <c r="BYJ41" s="12"/>
      <c r="BYK41" s="19"/>
      <c r="BYL41" s="16"/>
      <c r="BYM41" s="18"/>
      <c r="BYN41" s="13"/>
      <c r="BYO41" s="12"/>
      <c r="BYP41" s="18"/>
      <c r="BYQ41" s="12"/>
      <c r="BYR41" s="19"/>
      <c r="BYS41" s="16"/>
      <c r="BYT41" s="18"/>
      <c r="BYU41" s="13"/>
      <c r="BYV41" s="12"/>
      <c r="BYW41" s="18"/>
      <c r="BYX41" s="12"/>
      <c r="BYY41" s="19"/>
      <c r="BYZ41" s="16"/>
      <c r="BZA41" s="18"/>
      <c r="BZB41" s="13"/>
      <c r="BZC41" s="12"/>
      <c r="BZD41" s="18"/>
      <c r="BZE41" s="12"/>
      <c r="BZF41" s="19"/>
      <c r="BZG41" s="16"/>
      <c r="BZH41" s="18"/>
      <c r="BZI41" s="13"/>
      <c r="BZJ41" s="12"/>
      <c r="BZK41" s="18"/>
      <c r="BZL41" s="12"/>
      <c r="BZM41" s="19"/>
      <c r="BZN41" s="16"/>
      <c r="BZO41" s="18"/>
      <c r="BZP41" s="13"/>
      <c r="BZQ41" s="12"/>
      <c r="BZR41" s="18"/>
      <c r="BZS41" s="12"/>
      <c r="BZT41" s="19"/>
      <c r="BZU41" s="16"/>
      <c r="BZV41" s="18"/>
      <c r="BZW41" s="13"/>
      <c r="BZX41" s="12"/>
      <c r="BZY41" s="18"/>
      <c r="BZZ41" s="12"/>
      <c r="CAA41" s="19"/>
      <c r="CAB41" s="16"/>
      <c r="CAC41" s="18"/>
      <c r="CAD41" s="13"/>
      <c r="CAE41" s="12"/>
      <c r="CAF41" s="18"/>
      <c r="CAG41" s="12"/>
      <c r="CAH41" s="19"/>
      <c r="CAI41" s="16"/>
      <c r="CAJ41" s="18"/>
      <c r="CAK41" s="13"/>
      <c r="CAL41" s="12"/>
      <c r="CAM41" s="18"/>
      <c r="CAN41" s="12"/>
      <c r="CAO41" s="19"/>
      <c r="CAP41" s="16"/>
      <c r="CAQ41" s="18"/>
      <c r="CAR41" s="13"/>
      <c r="CAS41" s="12"/>
      <c r="CAT41" s="18"/>
      <c r="CAU41" s="12"/>
      <c r="CAV41" s="19"/>
      <c r="CAW41" s="16"/>
      <c r="CAX41" s="18"/>
      <c r="CAY41" s="13"/>
      <c r="CAZ41" s="12"/>
      <c r="CBA41" s="18"/>
      <c r="CBB41" s="12"/>
      <c r="CBC41" s="19"/>
      <c r="CBD41" s="16"/>
      <c r="CBE41" s="18"/>
      <c r="CBF41" s="13"/>
      <c r="CBG41" s="12"/>
      <c r="CBH41" s="18"/>
      <c r="CBI41" s="12"/>
      <c r="CBJ41" s="19"/>
      <c r="CBK41" s="16"/>
      <c r="CBL41" s="18"/>
      <c r="CBM41" s="13"/>
      <c r="CBN41" s="12"/>
      <c r="CBO41" s="18"/>
      <c r="CBP41" s="12"/>
      <c r="CBQ41" s="19"/>
      <c r="CBR41" s="16"/>
      <c r="CBS41" s="18"/>
      <c r="CBT41" s="13"/>
      <c r="CBU41" s="12"/>
      <c r="CBV41" s="18"/>
      <c r="CBW41" s="12"/>
      <c r="CBX41" s="19"/>
      <c r="CBY41" s="16"/>
      <c r="CBZ41" s="18"/>
      <c r="CCA41" s="13"/>
      <c r="CCB41" s="12"/>
      <c r="CCC41" s="18"/>
      <c r="CCD41" s="12"/>
      <c r="CCE41" s="19"/>
      <c r="CCF41" s="16"/>
      <c r="CCG41" s="18"/>
      <c r="CCH41" s="13"/>
      <c r="CCI41" s="12"/>
      <c r="CCJ41" s="18"/>
      <c r="CCK41" s="12"/>
      <c r="CCL41" s="19"/>
      <c r="CCM41" s="16"/>
      <c r="CCN41" s="18"/>
      <c r="CCO41" s="13"/>
      <c r="CCP41" s="12"/>
      <c r="CCQ41" s="18"/>
      <c r="CCR41" s="12"/>
      <c r="CCS41" s="19"/>
      <c r="CCT41" s="16"/>
      <c r="CCU41" s="18"/>
      <c r="CCV41" s="13"/>
      <c r="CCW41" s="12"/>
      <c r="CCX41" s="18"/>
      <c r="CCY41" s="12"/>
      <c r="CCZ41" s="19"/>
      <c r="CDA41" s="16"/>
      <c r="CDB41" s="18"/>
      <c r="CDC41" s="13"/>
      <c r="CDD41" s="12"/>
      <c r="CDE41" s="18"/>
      <c r="CDF41" s="12"/>
      <c r="CDG41" s="19"/>
      <c r="CDH41" s="16"/>
      <c r="CDI41" s="18"/>
      <c r="CDJ41" s="13"/>
      <c r="CDK41" s="12"/>
      <c r="CDL41" s="18"/>
      <c r="CDM41" s="12"/>
      <c r="CDN41" s="19"/>
      <c r="CDO41" s="16"/>
      <c r="CDP41" s="18"/>
      <c r="CDQ41" s="13"/>
      <c r="CDR41" s="12"/>
      <c r="CDS41" s="18"/>
      <c r="CDT41" s="12"/>
      <c r="CDU41" s="19"/>
      <c r="CDV41" s="16"/>
      <c r="CDW41" s="18"/>
      <c r="CDX41" s="13"/>
      <c r="CDY41" s="12"/>
      <c r="CDZ41" s="18"/>
      <c r="CEA41" s="12"/>
      <c r="CEB41" s="19"/>
      <c r="CEC41" s="16"/>
      <c r="CED41" s="18"/>
      <c r="CEE41" s="13"/>
      <c r="CEF41" s="12"/>
      <c r="CEG41" s="18"/>
      <c r="CEH41" s="12"/>
      <c r="CEI41" s="19"/>
      <c r="CEJ41" s="16"/>
      <c r="CEK41" s="18"/>
      <c r="CEL41" s="13"/>
      <c r="CEM41" s="12"/>
      <c r="CEN41" s="18"/>
      <c r="CEO41" s="12"/>
      <c r="CEP41" s="19"/>
      <c r="CEQ41" s="16"/>
      <c r="CER41" s="18"/>
      <c r="CES41" s="13"/>
      <c r="CET41" s="12"/>
      <c r="CEU41" s="18"/>
      <c r="CEV41" s="12"/>
      <c r="CEW41" s="19"/>
      <c r="CEX41" s="16"/>
      <c r="CEY41" s="18"/>
      <c r="CEZ41" s="13"/>
      <c r="CFA41" s="12"/>
      <c r="CFB41" s="18"/>
      <c r="CFC41" s="12"/>
      <c r="CFD41" s="19"/>
      <c r="CFE41" s="16"/>
      <c r="CFF41" s="18"/>
      <c r="CFG41" s="13"/>
      <c r="CFH41" s="12"/>
      <c r="CFI41" s="18"/>
      <c r="CFJ41" s="12"/>
      <c r="CFK41" s="19"/>
      <c r="CFL41" s="16"/>
      <c r="CFM41" s="18"/>
      <c r="CFN41" s="13"/>
      <c r="CFO41" s="12"/>
      <c r="CFP41" s="18"/>
      <c r="CFQ41" s="12"/>
      <c r="CFR41" s="19"/>
      <c r="CFS41" s="16"/>
      <c r="CFT41" s="18"/>
      <c r="CFU41" s="13"/>
      <c r="CFV41" s="12"/>
      <c r="CFW41" s="18"/>
      <c r="CFX41" s="12"/>
      <c r="CFY41" s="19"/>
      <c r="CFZ41" s="16"/>
      <c r="CGA41" s="18"/>
      <c r="CGB41" s="13"/>
      <c r="CGC41" s="12"/>
      <c r="CGD41" s="18"/>
      <c r="CGE41" s="12"/>
      <c r="CGF41" s="19"/>
      <c r="CGG41" s="16"/>
      <c r="CGH41" s="18"/>
      <c r="CGI41" s="13"/>
      <c r="CGJ41" s="12"/>
      <c r="CGK41" s="18"/>
      <c r="CGL41" s="12"/>
      <c r="CGM41" s="19"/>
      <c r="CGN41" s="16"/>
      <c r="CGO41" s="18"/>
      <c r="CGP41" s="13"/>
      <c r="CGQ41" s="12"/>
      <c r="CGR41" s="18"/>
      <c r="CGS41" s="12"/>
      <c r="CGT41" s="19"/>
      <c r="CGU41" s="16"/>
      <c r="CGV41" s="18"/>
      <c r="CGW41" s="13"/>
      <c r="CGX41" s="12"/>
      <c r="CGY41" s="18"/>
      <c r="CGZ41" s="12"/>
      <c r="CHA41" s="19"/>
      <c r="CHB41" s="16"/>
      <c r="CHC41" s="18"/>
      <c r="CHD41" s="13"/>
      <c r="CHE41" s="12"/>
      <c r="CHF41" s="18"/>
      <c r="CHG41" s="12"/>
      <c r="CHH41" s="19"/>
      <c r="CHI41" s="16"/>
      <c r="CHJ41" s="18"/>
      <c r="CHK41" s="13"/>
      <c r="CHL41" s="12"/>
      <c r="CHM41" s="18"/>
      <c r="CHN41" s="12"/>
      <c r="CHO41" s="19"/>
      <c r="CHP41" s="16"/>
      <c r="CHQ41" s="18"/>
      <c r="CHR41" s="13"/>
      <c r="CHS41" s="12"/>
      <c r="CHT41" s="18"/>
      <c r="CHU41" s="12"/>
      <c r="CHV41" s="19"/>
      <c r="CHW41" s="16"/>
      <c r="CHX41" s="18"/>
      <c r="CHY41" s="13"/>
      <c r="CHZ41" s="12"/>
      <c r="CIA41" s="18"/>
      <c r="CIB41" s="12"/>
      <c r="CIC41" s="19"/>
      <c r="CID41" s="16"/>
      <c r="CIE41" s="18"/>
      <c r="CIF41" s="13"/>
      <c r="CIG41" s="12"/>
      <c r="CIH41" s="18"/>
      <c r="CII41" s="12"/>
      <c r="CIJ41" s="19"/>
      <c r="CIK41" s="16"/>
      <c r="CIL41" s="18"/>
      <c r="CIM41" s="13"/>
      <c r="CIN41" s="12"/>
      <c r="CIO41" s="18"/>
      <c r="CIP41" s="12"/>
      <c r="CIQ41" s="19"/>
      <c r="CIR41" s="16"/>
      <c r="CIS41" s="18"/>
      <c r="CIT41" s="13"/>
      <c r="CIU41" s="12"/>
      <c r="CIV41" s="18"/>
      <c r="CIW41" s="12"/>
      <c r="CIX41" s="19"/>
      <c r="CIY41" s="16"/>
      <c r="CIZ41" s="18"/>
      <c r="CJA41" s="13"/>
      <c r="CJB41" s="12"/>
      <c r="CJC41" s="18"/>
      <c r="CJD41" s="12"/>
      <c r="CJE41" s="19"/>
      <c r="CJF41" s="16"/>
      <c r="CJG41" s="18"/>
      <c r="CJH41" s="13"/>
      <c r="CJI41" s="12"/>
      <c r="CJJ41" s="18"/>
      <c r="CJK41" s="12"/>
      <c r="CJL41" s="19"/>
      <c r="CJM41" s="16"/>
      <c r="CJN41" s="18"/>
      <c r="CJO41" s="13"/>
      <c r="CJP41" s="12"/>
      <c r="CJQ41" s="18"/>
      <c r="CJR41" s="12"/>
      <c r="CJS41" s="19"/>
      <c r="CJT41" s="16"/>
      <c r="CJU41" s="18"/>
      <c r="CJV41" s="13"/>
      <c r="CJW41" s="12"/>
      <c r="CJX41" s="18"/>
      <c r="CJY41" s="12"/>
      <c r="CJZ41" s="19"/>
      <c r="CKA41" s="16"/>
      <c r="CKB41" s="18"/>
      <c r="CKC41" s="13"/>
      <c r="CKD41" s="12"/>
      <c r="CKE41" s="18"/>
      <c r="CKF41" s="12"/>
      <c r="CKG41" s="19"/>
      <c r="CKH41" s="16"/>
      <c r="CKI41" s="18"/>
      <c r="CKJ41" s="13"/>
      <c r="CKK41" s="12"/>
      <c r="CKL41" s="18"/>
      <c r="CKM41" s="12"/>
      <c r="CKN41" s="19"/>
      <c r="CKO41" s="16"/>
      <c r="CKP41" s="18"/>
      <c r="CKQ41" s="13"/>
      <c r="CKR41" s="12"/>
      <c r="CKS41" s="18"/>
      <c r="CKT41" s="12"/>
      <c r="CKU41" s="19"/>
      <c r="CKV41" s="16"/>
      <c r="CKW41" s="18"/>
      <c r="CKX41" s="13"/>
      <c r="CKY41" s="12"/>
      <c r="CKZ41" s="18"/>
      <c r="CLA41" s="12"/>
      <c r="CLB41" s="19"/>
      <c r="CLC41" s="16"/>
      <c r="CLD41" s="18"/>
      <c r="CLE41" s="13"/>
      <c r="CLF41" s="12"/>
      <c r="CLG41" s="18"/>
      <c r="CLH41" s="12"/>
      <c r="CLI41" s="19"/>
      <c r="CLJ41" s="16"/>
      <c r="CLK41" s="18"/>
      <c r="CLL41" s="13"/>
      <c r="CLM41" s="12"/>
      <c r="CLN41" s="18"/>
      <c r="CLO41" s="12"/>
      <c r="CLP41" s="19"/>
      <c r="CLQ41" s="16"/>
      <c r="CLR41" s="18"/>
      <c r="CLS41" s="13"/>
      <c r="CLT41" s="12"/>
      <c r="CLU41" s="18"/>
      <c r="CLV41" s="12"/>
      <c r="CLW41" s="19"/>
      <c r="CLX41" s="16"/>
      <c r="CLY41" s="18"/>
      <c r="CLZ41" s="13"/>
      <c r="CMA41" s="12"/>
      <c r="CMB41" s="18"/>
      <c r="CMC41" s="12"/>
      <c r="CMD41" s="19"/>
      <c r="CME41" s="16"/>
      <c r="CMF41" s="18"/>
      <c r="CMG41" s="13"/>
      <c r="CMH41" s="12"/>
      <c r="CMI41" s="18"/>
      <c r="CMJ41" s="12"/>
      <c r="CMK41" s="19"/>
      <c r="CML41" s="16"/>
      <c r="CMM41" s="18"/>
      <c r="CMN41" s="13"/>
      <c r="CMO41" s="12"/>
      <c r="CMP41" s="18"/>
      <c r="CMQ41" s="12"/>
      <c r="CMR41" s="19"/>
      <c r="CMS41" s="16"/>
      <c r="CMT41" s="18"/>
      <c r="CMU41" s="13"/>
      <c r="CMV41" s="12"/>
      <c r="CMW41" s="18"/>
      <c r="CMX41" s="12"/>
      <c r="CMY41" s="19"/>
      <c r="CMZ41" s="16"/>
      <c r="CNA41" s="18"/>
      <c r="CNB41" s="13"/>
      <c r="CNC41" s="12"/>
      <c r="CND41" s="18"/>
      <c r="CNE41" s="12"/>
      <c r="CNF41" s="19"/>
      <c r="CNG41" s="16"/>
      <c r="CNH41" s="18"/>
      <c r="CNI41" s="13"/>
      <c r="CNJ41" s="12"/>
      <c r="CNK41" s="18"/>
      <c r="CNL41" s="12"/>
      <c r="CNM41" s="19"/>
      <c r="CNN41" s="16"/>
      <c r="CNO41" s="18"/>
      <c r="CNP41" s="13"/>
      <c r="CNQ41" s="12"/>
      <c r="CNR41" s="18"/>
      <c r="CNS41" s="12"/>
      <c r="CNT41" s="19"/>
      <c r="CNU41" s="16"/>
      <c r="CNV41" s="18"/>
      <c r="CNW41" s="13"/>
      <c r="CNX41" s="12"/>
      <c r="CNY41" s="18"/>
      <c r="CNZ41" s="12"/>
      <c r="COA41" s="19"/>
      <c r="COB41" s="16"/>
      <c r="COC41" s="18"/>
      <c r="COD41" s="13"/>
      <c r="COE41" s="12"/>
      <c r="COF41" s="18"/>
      <c r="COG41" s="12"/>
      <c r="COH41" s="19"/>
      <c r="COI41" s="16"/>
      <c r="COJ41" s="18"/>
      <c r="COK41" s="13"/>
      <c r="COL41" s="12"/>
      <c r="COM41" s="18"/>
      <c r="CON41" s="12"/>
      <c r="COO41" s="19"/>
      <c r="COP41" s="16"/>
      <c r="COQ41" s="18"/>
      <c r="COR41" s="13"/>
      <c r="COS41" s="12"/>
      <c r="COT41" s="18"/>
      <c r="COU41" s="12"/>
      <c r="COV41" s="19"/>
      <c r="COW41" s="16"/>
      <c r="COX41" s="18"/>
      <c r="COY41" s="13"/>
      <c r="COZ41" s="12"/>
      <c r="CPA41" s="18"/>
      <c r="CPB41" s="12"/>
      <c r="CPC41" s="19"/>
      <c r="CPD41" s="16"/>
      <c r="CPE41" s="18"/>
      <c r="CPF41" s="13"/>
      <c r="CPG41" s="12"/>
      <c r="CPH41" s="18"/>
      <c r="CPI41" s="12"/>
      <c r="CPJ41" s="19"/>
      <c r="CPK41" s="16"/>
      <c r="CPL41" s="18"/>
      <c r="CPM41" s="13"/>
      <c r="CPN41" s="12"/>
      <c r="CPO41" s="18"/>
      <c r="CPP41" s="12"/>
      <c r="CPQ41" s="19"/>
      <c r="CPR41" s="16"/>
      <c r="CPS41" s="18"/>
      <c r="CPT41" s="13"/>
      <c r="CPU41" s="12"/>
      <c r="CPV41" s="18"/>
      <c r="CPW41" s="12"/>
      <c r="CPX41" s="19"/>
      <c r="CPY41" s="16"/>
      <c r="CPZ41" s="18"/>
      <c r="CQA41" s="13"/>
      <c r="CQB41" s="12"/>
      <c r="CQC41" s="18"/>
      <c r="CQD41" s="12"/>
      <c r="CQE41" s="19"/>
      <c r="CQF41" s="16"/>
      <c r="CQG41" s="18"/>
      <c r="CQH41" s="13"/>
      <c r="CQI41" s="12"/>
      <c r="CQJ41" s="18"/>
      <c r="CQK41" s="12"/>
      <c r="CQL41" s="19"/>
      <c r="CQM41" s="16"/>
      <c r="CQN41" s="18"/>
      <c r="CQO41" s="13"/>
      <c r="CQP41" s="12"/>
      <c r="CQQ41" s="18"/>
      <c r="CQR41" s="12"/>
      <c r="CQS41" s="19"/>
      <c r="CQT41" s="16"/>
      <c r="CQU41" s="18"/>
      <c r="CQV41" s="13"/>
      <c r="CQW41" s="12"/>
      <c r="CQX41" s="18"/>
      <c r="CQY41" s="12"/>
      <c r="CQZ41" s="19"/>
      <c r="CRA41" s="16"/>
      <c r="CRB41" s="18"/>
      <c r="CRC41" s="13"/>
      <c r="CRD41" s="12"/>
      <c r="CRE41" s="18"/>
      <c r="CRF41" s="12"/>
      <c r="CRG41" s="19"/>
      <c r="CRH41" s="16"/>
      <c r="CRI41" s="18"/>
      <c r="CRJ41" s="13"/>
      <c r="CRK41" s="12"/>
      <c r="CRL41" s="18"/>
      <c r="CRM41" s="12"/>
      <c r="CRN41" s="19"/>
      <c r="CRO41" s="16"/>
      <c r="CRP41" s="18"/>
      <c r="CRQ41" s="13"/>
      <c r="CRR41" s="12"/>
      <c r="CRS41" s="18"/>
      <c r="CRT41" s="12"/>
      <c r="CRU41" s="19"/>
      <c r="CRV41" s="16"/>
      <c r="CRW41" s="18"/>
      <c r="CRX41" s="13"/>
      <c r="CRY41" s="12"/>
      <c r="CRZ41" s="18"/>
      <c r="CSA41" s="12"/>
      <c r="CSB41" s="19"/>
      <c r="CSC41" s="16"/>
      <c r="CSD41" s="18"/>
      <c r="CSE41" s="13"/>
      <c r="CSF41" s="12"/>
      <c r="CSG41" s="18"/>
      <c r="CSH41" s="12"/>
      <c r="CSI41" s="19"/>
      <c r="CSJ41" s="16"/>
      <c r="CSK41" s="18"/>
      <c r="CSL41" s="13"/>
      <c r="CSM41" s="12"/>
      <c r="CSN41" s="18"/>
      <c r="CSO41" s="12"/>
      <c r="CSP41" s="19"/>
      <c r="CSQ41" s="16"/>
      <c r="CSR41" s="18"/>
      <c r="CSS41" s="13"/>
      <c r="CST41" s="12"/>
      <c r="CSU41" s="18"/>
      <c r="CSV41" s="12"/>
      <c r="CSW41" s="19"/>
      <c r="CSX41" s="16"/>
      <c r="CSY41" s="18"/>
      <c r="CSZ41" s="13"/>
      <c r="CTA41" s="12"/>
      <c r="CTB41" s="18"/>
      <c r="CTC41" s="12"/>
      <c r="CTD41" s="19"/>
      <c r="CTE41" s="16"/>
      <c r="CTF41" s="18"/>
      <c r="CTG41" s="13"/>
      <c r="CTH41" s="12"/>
      <c r="CTI41" s="18"/>
      <c r="CTJ41" s="12"/>
      <c r="CTK41" s="19"/>
      <c r="CTL41" s="16"/>
      <c r="CTM41" s="18"/>
      <c r="CTN41" s="13"/>
      <c r="CTO41" s="12"/>
      <c r="CTP41" s="18"/>
      <c r="CTQ41" s="12"/>
      <c r="CTR41" s="19"/>
      <c r="CTS41" s="16"/>
      <c r="CTT41" s="18"/>
      <c r="CTU41" s="13"/>
      <c r="CTV41" s="12"/>
      <c r="CTW41" s="18"/>
      <c r="CTX41" s="12"/>
      <c r="CTY41" s="19"/>
      <c r="CTZ41" s="16"/>
      <c r="CUA41" s="18"/>
      <c r="CUB41" s="13"/>
      <c r="CUC41" s="12"/>
      <c r="CUD41" s="18"/>
      <c r="CUE41" s="12"/>
      <c r="CUF41" s="19"/>
      <c r="CUG41" s="16"/>
      <c r="CUH41" s="18"/>
      <c r="CUI41" s="13"/>
      <c r="CUJ41" s="12"/>
      <c r="CUK41" s="18"/>
      <c r="CUL41" s="12"/>
      <c r="CUM41" s="19"/>
      <c r="CUN41" s="16"/>
      <c r="CUO41" s="18"/>
      <c r="CUP41" s="13"/>
      <c r="CUQ41" s="12"/>
      <c r="CUR41" s="18"/>
      <c r="CUS41" s="12"/>
      <c r="CUT41" s="19"/>
      <c r="CUU41" s="16"/>
      <c r="CUV41" s="18"/>
      <c r="CUW41" s="13"/>
      <c r="CUX41" s="12"/>
      <c r="CUY41" s="18"/>
      <c r="CUZ41" s="12"/>
      <c r="CVA41" s="19"/>
      <c r="CVB41" s="16"/>
      <c r="CVC41" s="18"/>
      <c r="CVD41" s="13"/>
      <c r="CVE41" s="12"/>
      <c r="CVF41" s="18"/>
      <c r="CVG41" s="12"/>
      <c r="CVH41" s="19"/>
      <c r="CVI41" s="16"/>
      <c r="CVJ41" s="18"/>
      <c r="CVK41" s="13"/>
      <c r="CVL41" s="12"/>
      <c r="CVM41" s="18"/>
      <c r="CVN41" s="12"/>
      <c r="CVO41" s="19"/>
      <c r="CVP41" s="16"/>
      <c r="CVQ41" s="18"/>
      <c r="CVR41" s="13"/>
      <c r="CVS41" s="12"/>
      <c r="CVT41" s="18"/>
      <c r="CVU41" s="12"/>
      <c r="CVV41" s="19"/>
      <c r="CVW41" s="16"/>
      <c r="CVX41" s="18"/>
      <c r="CVY41" s="13"/>
      <c r="CVZ41" s="12"/>
      <c r="CWA41" s="18"/>
      <c r="CWB41" s="12"/>
      <c r="CWC41" s="19"/>
      <c r="CWD41" s="16"/>
      <c r="CWE41" s="18"/>
      <c r="CWF41" s="13"/>
      <c r="CWG41" s="12"/>
      <c r="CWH41" s="18"/>
      <c r="CWI41" s="12"/>
      <c r="CWJ41" s="19"/>
      <c r="CWK41" s="16"/>
      <c r="CWL41" s="18"/>
      <c r="CWM41" s="13"/>
      <c r="CWN41" s="12"/>
      <c r="CWO41" s="18"/>
      <c r="CWP41" s="12"/>
      <c r="CWQ41" s="19"/>
      <c r="CWR41" s="16"/>
      <c r="CWS41" s="18"/>
      <c r="CWT41" s="13"/>
      <c r="CWU41" s="12"/>
      <c r="CWV41" s="18"/>
      <c r="CWW41" s="12"/>
      <c r="CWX41" s="19"/>
      <c r="CWY41" s="16"/>
      <c r="CWZ41" s="18"/>
      <c r="CXA41" s="13"/>
      <c r="CXB41" s="12"/>
      <c r="CXC41" s="18"/>
      <c r="CXD41" s="12"/>
      <c r="CXE41" s="19"/>
      <c r="CXF41" s="16"/>
      <c r="CXG41" s="18"/>
      <c r="CXH41" s="13"/>
      <c r="CXI41" s="12"/>
      <c r="CXJ41" s="18"/>
      <c r="CXK41" s="12"/>
      <c r="CXL41" s="19"/>
      <c r="CXM41" s="16"/>
      <c r="CXN41" s="18"/>
      <c r="CXO41" s="13"/>
      <c r="CXP41" s="12"/>
      <c r="CXQ41" s="18"/>
      <c r="CXR41" s="12"/>
      <c r="CXS41" s="19"/>
      <c r="CXT41" s="16"/>
      <c r="CXU41" s="18"/>
      <c r="CXV41" s="13"/>
      <c r="CXW41" s="12"/>
      <c r="CXX41" s="18"/>
      <c r="CXY41" s="12"/>
      <c r="CXZ41" s="19"/>
      <c r="CYA41" s="16"/>
      <c r="CYB41" s="18"/>
      <c r="CYC41" s="13"/>
      <c r="CYD41" s="12"/>
      <c r="CYE41" s="18"/>
      <c r="CYF41" s="12"/>
      <c r="CYG41" s="19"/>
      <c r="CYH41" s="16"/>
      <c r="CYI41" s="18"/>
      <c r="CYJ41" s="13"/>
      <c r="CYK41" s="12"/>
      <c r="CYL41" s="18"/>
      <c r="CYM41" s="12"/>
      <c r="CYN41" s="19"/>
      <c r="CYO41" s="16"/>
      <c r="CYP41" s="18"/>
      <c r="CYQ41" s="13"/>
      <c r="CYR41" s="12"/>
      <c r="CYS41" s="18"/>
      <c r="CYT41" s="12"/>
      <c r="CYU41" s="19"/>
      <c r="CYV41" s="16"/>
      <c r="CYW41" s="18"/>
      <c r="CYX41" s="13"/>
      <c r="CYY41" s="12"/>
      <c r="CYZ41" s="18"/>
      <c r="CZA41" s="12"/>
      <c r="CZB41" s="19"/>
      <c r="CZC41" s="16"/>
      <c r="CZD41" s="18"/>
      <c r="CZE41" s="13"/>
      <c r="CZF41" s="12"/>
      <c r="CZG41" s="18"/>
      <c r="CZH41" s="12"/>
      <c r="CZI41" s="19"/>
      <c r="CZJ41" s="16"/>
      <c r="CZK41" s="18"/>
      <c r="CZL41" s="13"/>
      <c r="CZM41" s="12"/>
      <c r="CZN41" s="18"/>
      <c r="CZO41" s="12"/>
      <c r="CZP41" s="19"/>
      <c r="CZQ41" s="16"/>
      <c r="CZR41" s="18"/>
      <c r="CZS41" s="13"/>
      <c r="CZT41" s="12"/>
      <c r="CZU41" s="18"/>
      <c r="CZV41" s="12"/>
      <c r="CZW41" s="19"/>
      <c r="CZX41" s="16"/>
      <c r="CZY41" s="18"/>
      <c r="CZZ41" s="13"/>
      <c r="DAA41" s="12"/>
      <c r="DAB41" s="18"/>
      <c r="DAC41" s="12"/>
      <c r="DAD41" s="19"/>
      <c r="DAE41" s="16"/>
      <c r="DAF41" s="18"/>
      <c r="DAG41" s="13"/>
      <c r="DAH41" s="12"/>
      <c r="DAI41" s="18"/>
      <c r="DAJ41" s="12"/>
      <c r="DAK41" s="19"/>
      <c r="DAL41" s="16"/>
      <c r="DAM41" s="18"/>
      <c r="DAN41" s="13"/>
      <c r="DAO41" s="12"/>
      <c r="DAP41" s="18"/>
      <c r="DAQ41" s="12"/>
      <c r="DAR41" s="19"/>
      <c r="DAS41" s="16"/>
      <c r="DAT41" s="18"/>
      <c r="DAU41" s="13"/>
      <c r="DAV41" s="12"/>
      <c r="DAW41" s="18"/>
      <c r="DAX41" s="12"/>
      <c r="DAY41" s="19"/>
      <c r="DAZ41" s="16"/>
      <c r="DBA41" s="18"/>
      <c r="DBB41" s="13"/>
      <c r="DBC41" s="12"/>
      <c r="DBD41" s="18"/>
      <c r="DBE41" s="12"/>
      <c r="DBF41" s="19"/>
      <c r="DBG41" s="16"/>
      <c r="DBH41" s="18"/>
      <c r="DBI41" s="13"/>
      <c r="DBJ41" s="12"/>
      <c r="DBK41" s="18"/>
      <c r="DBL41" s="12"/>
      <c r="DBM41" s="19"/>
      <c r="DBN41" s="16"/>
      <c r="DBO41" s="18"/>
      <c r="DBP41" s="13"/>
      <c r="DBQ41" s="12"/>
      <c r="DBR41" s="18"/>
      <c r="DBS41" s="12"/>
      <c r="DBT41" s="19"/>
      <c r="DBU41" s="16"/>
      <c r="DBV41" s="18"/>
      <c r="DBW41" s="13"/>
      <c r="DBX41" s="12"/>
      <c r="DBY41" s="18"/>
      <c r="DBZ41" s="12"/>
      <c r="DCA41" s="19"/>
      <c r="DCB41" s="16"/>
      <c r="DCC41" s="18"/>
      <c r="DCD41" s="13"/>
      <c r="DCE41" s="12"/>
      <c r="DCF41" s="18"/>
      <c r="DCG41" s="12"/>
      <c r="DCH41" s="19"/>
      <c r="DCI41" s="16"/>
      <c r="DCJ41" s="18"/>
      <c r="DCK41" s="13"/>
      <c r="DCL41" s="12"/>
      <c r="DCM41" s="18"/>
      <c r="DCN41" s="12"/>
      <c r="DCO41" s="19"/>
      <c r="DCP41" s="16"/>
      <c r="DCQ41" s="18"/>
      <c r="DCR41" s="13"/>
      <c r="DCS41" s="12"/>
      <c r="DCT41" s="18"/>
      <c r="DCU41" s="12"/>
      <c r="DCV41" s="19"/>
      <c r="DCW41" s="16"/>
      <c r="DCX41" s="18"/>
      <c r="DCY41" s="13"/>
      <c r="DCZ41" s="12"/>
      <c r="DDA41" s="18"/>
      <c r="DDB41" s="12"/>
      <c r="DDC41" s="19"/>
      <c r="DDD41" s="16"/>
      <c r="DDE41" s="18"/>
      <c r="DDF41" s="13"/>
      <c r="DDG41" s="12"/>
      <c r="DDH41" s="18"/>
      <c r="DDI41" s="12"/>
      <c r="DDJ41" s="19"/>
      <c r="DDK41" s="16"/>
      <c r="DDL41" s="18"/>
      <c r="DDM41" s="13"/>
      <c r="DDN41" s="12"/>
      <c r="DDO41" s="18"/>
      <c r="DDP41" s="12"/>
      <c r="DDQ41" s="19"/>
      <c r="DDR41" s="16"/>
      <c r="DDS41" s="18"/>
      <c r="DDT41" s="13"/>
      <c r="DDU41" s="12"/>
      <c r="DDV41" s="18"/>
      <c r="DDW41" s="12"/>
      <c r="DDX41" s="19"/>
      <c r="DDY41" s="16"/>
      <c r="DDZ41" s="18"/>
      <c r="DEA41" s="13"/>
      <c r="DEB41" s="12"/>
      <c r="DEC41" s="18"/>
      <c r="DED41" s="12"/>
      <c r="DEE41" s="19"/>
      <c r="DEF41" s="16"/>
      <c r="DEG41" s="18"/>
      <c r="DEH41" s="13"/>
      <c r="DEI41" s="12"/>
      <c r="DEJ41" s="18"/>
      <c r="DEK41" s="12"/>
      <c r="DEL41" s="19"/>
      <c r="DEM41" s="16"/>
      <c r="DEN41" s="18"/>
      <c r="DEO41" s="13"/>
      <c r="DEP41" s="12"/>
      <c r="DEQ41" s="18"/>
      <c r="DER41" s="12"/>
      <c r="DES41" s="19"/>
      <c r="DET41" s="16"/>
      <c r="DEU41" s="18"/>
      <c r="DEV41" s="13"/>
      <c r="DEW41" s="12"/>
      <c r="DEX41" s="18"/>
      <c r="DEY41" s="12"/>
      <c r="DEZ41" s="19"/>
      <c r="DFA41" s="16"/>
      <c r="DFB41" s="18"/>
      <c r="DFC41" s="13"/>
      <c r="DFD41" s="12"/>
      <c r="DFE41" s="18"/>
      <c r="DFF41" s="12"/>
      <c r="DFG41" s="19"/>
      <c r="DFH41" s="16"/>
      <c r="DFI41" s="18"/>
      <c r="DFJ41" s="13"/>
      <c r="DFK41" s="12"/>
      <c r="DFL41" s="18"/>
      <c r="DFM41" s="12"/>
      <c r="DFN41" s="19"/>
      <c r="DFO41" s="16"/>
      <c r="DFP41" s="18"/>
      <c r="DFQ41" s="13"/>
      <c r="DFR41" s="12"/>
      <c r="DFS41" s="18"/>
      <c r="DFT41" s="12"/>
      <c r="DFU41" s="19"/>
      <c r="DFV41" s="16"/>
      <c r="DFW41" s="18"/>
      <c r="DFX41" s="13"/>
      <c r="DFY41" s="12"/>
      <c r="DFZ41" s="18"/>
      <c r="DGA41" s="12"/>
      <c r="DGB41" s="19"/>
      <c r="DGC41" s="16"/>
      <c r="DGD41" s="18"/>
      <c r="DGE41" s="13"/>
      <c r="DGF41" s="12"/>
      <c r="DGG41" s="18"/>
      <c r="DGH41" s="12"/>
      <c r="DGI41" s="19"/>
      <c r="DGJ41" s="16"/>
      <c r="DGK41" s="18"/>
      <c r="DGL41" s="13"/>
      <c r="DGM41" s="12"/>
      <c r="DGN41" s="18"/>
      <c r="DGO41" s="12"/>
      <c r="DGP41" s="19"/>
      <c r="DGQ41" s="16"/>
      <c r="DGR41" s="18"/>
      <c r="DGS41" s="13"/>
      <c r="DGT41" s="12"/>
      <c r="DGU41" s="18"/>
      <c r="DGV41" s="12"/>
      <c r="DGW41" s="19"/>
      <c r="DGX41" s="16"/>
      <c r="DGY41" s="18"/>
      <c r="DGZ41" s="13"/>
      <c r="DHA41" s="12"/>
      <c r="DHB41" s="18"/>
      <c r="DHC41" s="12"/>
      <c r="DHD41" s="19"/>
      <c r="DHE41" s="16"/>
      <c r="DHF41" s="18"/>
      <c r="DHG41" s="13"/>
      <c r="DHH41" s="12"/>
      <c r="DHI41" s="18"/>
      <c r="DHJ41" s="12"/>
      <c r="DHK41" s="19"/>
      <c r="DHL41" s="16"/>
      <c r="DHM41" s="18"/>
      <c r="DHN41" s="13"/>
      <c r="DHO41" s="12"/>
      <c r="DHP41" s="18"/>
      <c r="DHQ41" s="12"/>
      <c r="DHR41" s="19"/>
      <c r="DHS41" s="16"/>
      <c r="DHT41" s="18"/>
      <c r="DHU41" s="13"/>
      <c r="DHV41" s="12"/>
      <c r="DHW41" s="18"/>
      <c r="DHX41" s="12"/>
      <c r="DHY41" s="19"/>
      <c r="DHZ41" s="16"/>
      <c r="DIA41" s="18"/>
      <c r="DIB41" s="13"/>
      <c r="DIC41" s="12"/>
      <c r="DID41" s="18"/>
      <c r="DIE41" s="12"/>
      <c r="DIF41" s="19"/>
      <c r="DIG41" s="16"/>
      <c r="DIH41" s="18"/>
      <c r="DII41" s="13"/>
      <c r="DIJ41" s="12"/>
      <c r="DIK41" s="18"/>
      <c r="DIL41" s="12"/>
      <c r="DIM41" s="19"/>
      <c r="DIN41" s="16"/>
      <c r="DIO41" s="18"/>
      <c r="DIP41" s="13"/>
      <c r="DIQ41" s="12"/>
      <c r="DIR41" s="18"/>
      <c r="DIS41" s="12"/>
      <c r="DIT41" s="19"/>
      <c r="DIU41" s="16"/>
      <c r="DIV41" s="18"/>
      <c r="DIW41" s="13"/>
      <c r="DIX41" s="12"/>
      <c r="DIY41" s="18"/>
      <c r="DIZ41" s="12"/>
      <c r="DJA41" s="19"/>
      <c r="DJB41" s="16"/>
      <c r="DJC41" s="18"/>
      <c r="DJD41" s="13"/>
      <c r="DJE41" s="12"/>
      <c r="DJF41" s="18"/>
      <c r="DJG41" s="12"/>
      <c r="DJH41" s="19"/>
      <c r="DJI41" s="16"/>
      <c r="DJJ41" s="18"/>
      <c r="DJK41" s="13"/>
      <c r="DJL41" s="12"/>
      <c r="DJM41" s="18"/>
      <c r="DJN41" s="12"/>
      <c r="DJO41" s="19"/>
      <c r="DJP41" s="16"/>
      <c r="DJQ41" s="18"/>
      <c r="DJR41" s="13"/>
      <c r="DJS41" s="12"/>
      <c r="DJT41" s="18"/>
      <c r="DJU41" s="12"/>
      <c r="DJV41" s="19"/>
      <c r="DJW41" s="16"/>
      <c r="DJX41" s="18"/>
      <c r="DJY41" s="13"/>
      <c r="DJZ41" s="12"/>
      <c r="DKA41" s="18"/>
      <c r="DKB41" s="12"/>
      <c r="DKC41" s="19"/>
      <c r="DKD41" s="16"/>
      <c r="DKE41" s="18"/>
      <c r="DKF41" s="13"/>
      <c r="DKG41" s="12"/>
      <c r="DKH41" s="18"/>
      <c r="DKI41" s="12"/>
      <c r="DKJ41" s="19"/>
      <c r="DKK41" s="16"/>
      <c r="DKL41" s="18"/>
      <c r="DKM41" s="13"/>
      <c r="DKN41" s="12"/>
      <c r="DKO41" s="18"/>
      <c r="DKP41" s="12"/>
      <c r="DKQ41" s="19"/>
      <c r="DKR41" s="16"/>
      <c r="DKS41" s="18"/>
      <c r="DKT41" s="13"/>
      <c r="DKU41" s="12"/>
      <c r="DKV41" s="18"/>
      <c r="DKW41" s="12"/>
      <c r="DKX41" s="19"/>
      <c r="DKY41" s="16"/>
      <c r="DKZ41" s="18"/>
      <c r="DLA41" s="13"/>
      <c r="DLB41" s="12"/>
      <c r="DLC41" s="18"/>
      <c r="DLD41" s="12"/>
      <c r="DLE41" s="19"/>
      <c r="DLF41" s="16"/>
      <c r="DLG41" s="18"/>
      <c r="DLH41" s="13"/>
      <c r="DLI41" s="12"/>
      <c r="DLJ41" s="18"/>
      <c r="DLK41" s="12"/>
      <c r="DLL41" s="19"/>
      <c r="DLM41" s="16"/>
      <c r="DLN41" s="18"/>
      <c r="DLO41" s="13"/>
      <c r="DLP41" s="12"/>
      <c r="DLQ41" s="18"/>
      <c r="DLR41" s="12"/>
      <c r="DLS41" s="19"/>
      <c r="DLT41" s="16"/>
      <c r="DLU41" s="18"/>
      <c r="DLV41" s="13"/>
      <c r="DLW41" s="12"/>
      <c r="DLX41" s="18"/>
      <c r="DLY41" s="12"/>
      <c r="DLZ41" s="19"/>
      <c r="DMA41" s="16"/>
      <c r="DMB41" s="18"/>
      <c r="DMC41" s="13"/>
      <c r="DMD41" s="12"/>
      <c r="DME41" s="18"/>
      <c r="DMF41" s="12"/>
      <c r="DMG41" s="19"/>
      <c r="DMH41" s="16"/>
      <c r="DMI41" s="18"/>
      <c r="DMJ41" s="13"/>
      <c r="DMK41" s="12"/>
      <c r="DML41" s="18"/>
      <c r="DMM41" s="12"/>
      <c r="DMN41" s="19"/>
      <c r="DMO41" s="16"/>
      <c r="DMP41" s="18"/>
      <c r="DMQ41" s="13"/>
      <c r="DMR41" s="12"/>
      <c r="DMS41" s="18"/>
      <c r="DMT41" s="12"/>
      <c r="DMU41" s="19"/>
      <c r="DMV41" s="16"/>
      <c r="DMW41" s="18"/>
      <c r="DMX41" s="13"/>
      <c r="DMY41" s="12"/>
      <c r="DMZ41" s="18"/>
      <c r="DNA41" s="12"/>
      <c r="DNB41" s="19"/>
      <c r="DNC41" s="16"/>
      <c r="DND41" s="18"/>
      <c r="DNE41" s="13"/>
      <c r="DNF41" s="12"/>
      <c r="DNG41" s="18"/>
      <c r="DNH41" s="12"/>
      <c r="DNI41" s="19"/>
      <c r="DNJ41" s="16"/>
      <c r="DNK41" s="18"/>
      <c r="DNL41" s="13"/>
      <c r="DNM41" s="12"/>
      <c r="DNN41" s="18"/>
      <c r="DNO41" s="12"/>
      <c r="DNP41" s="19"/>
      <c r="DNQ41" s="16"/>
      <c r="DNR41" s="18"/>
      <c r="DNS41" s="13"/>
      <c r="DNT41" s="12"/>
      <c r="DNU41" s="18"/>
      <c r="DNV41" s="12"/>
      <c r="DNW41" s="19"/>
      <c r="DNX41" s="16"/>
      <c r="DNY41" s="18"/>
      <c r="DNZ41" s="13"/>
      <c r="DOA41" s="12"/>
      <c r="DOB41" s="18"/>
      <c r="DOC41" s="12"/>
      <c r="DOD41" s="19"/>
      <c r="DOE41" s="16"/>
      <c r="DOF41" s="18"/>
      <c r="DOG41" s="13"/>
      <c r="DOH41" s="12"/>
      <c r="DOI41" s="18"/>
      <c r="DOJ41" s="12"/>
      <c r="DOK41" s="19"/>
      <c r="DOL41" s="16"/>
      <c r="DOM41" s="18"/>
      <c r="DON41" s="13"/>
      <c r="DOO41" s="12"/>
      <c r="DOP41" s="18"/>
      <c r="DOQ41" s="12"/>
      <c r="DOR41" s="19"/>
      <c r="DOS41" s="16"/>
      <c r="DOT41" s="18"/>
      <c r="DOU41" s="13"/>
      <c r="DOV41" s="12"/>
      <c r="DOW41" s="18"/>
      <c r="DOX41" s="12"/>
      <c r="DOY41" s="19"/>
      <c r="DOZ41" s="16"/>
      <c r="DPA41" s="18"/>
      <c r="DPB41" s="13"/>
      <c r="DPC41" s="12"/>
      <c r="DPD41" s="18"/>
      <c r="DPE41" s="12"/>
      <c r="DPF41" s="19"/>
      <c r="DPG41" s="16"/>
      <c r="DPH41" s="18"/>
      <c r="DPI41" s="13"/>
      <c r="DPJ41" s="12"/>
      <c r="DPK41" s="18"/>
      <c r="DPL41" s="12"/>
      <c r="DPM41" s="19"/>
      <c r="DPN41" s="16"/>
      <c r="DPO41" s="18"/>
      <c r="DPP41" s="13"/>
      <c r="DPQ41" s="12"/>
      <c r="DPR41" s="18"/>
      <c r="DPS41" s="12"/>
      <c r="DPT41" s="19"/>
      <c r="DPU41" s="16"/>
      <c r="DPV41" s="18"/>
      <c r="DPW41" s="13"/>
      <c r="DPX41" s="12"/>
      <c r="DPY41" s="18"/>
      <c r="DPZ41" s="12"/>
      <c r="DQA41" s="19"/>
      <c r="DQB41" s="16"/>
      <c r="DQC41" s="18"/>
      <c r="DQD41" s="13"/>
      <c r="DQE41" s="12"/>
      <c r="DQF41" s="18"/>
      <c r="DQG41" s="12"/>
      <c r="DQH41" s="19"/>
      <c r="DQI41" s="16"/>
      <c r="DQJ41" s="18"/>
      <c r="DQK41" s="13"/>
      <c r="DQL41" s="12"/>
      <c r="DQM41" s="18"/>
      <c r="DQN41" s="12"/>
      <c r="DQO41" s="19"/>
      <c r="DQP41" s="16"/>
      <c r="DQQ41" s="18"/>
      <c r="DQR41" s="13"/>
      <c r="DQS41" s="12"/>
      <c r="DQT41" s="18"/>
      <c r="DQU41" s="12"/>
      <c r="DQV41" s="19"/>
      <c r="DQW41" s="16"/>
      <c r="DQX41" s="18"/>
      <c r="DQY41" s="13"/>
      <c r="DQZ41" s="12"/>
      <c r="DRA41" s="18"/>
      <c r="DRB41" s="12"/>
      <c r="DRC41" s="19"/>
      <c r="DRD41" s="16"/>
      <c r="DRE41" s="18"/>
      <c r="DRF41" s="13"/>
      <c r="DRG41" s="12"/>
      <c r="DRH41" s="18"/>
      <c r="DRI41" s="12"/>
      <c r="DRJ41" s="19"/>
      <c r="DRK41" s="16"/>
      <c r="DRL41" s="18"/>
      <c r="DRM41" s="13"/>
      <c r="DRN41" s="12"/>
      <c r="DRO41" s="18"/>
      <c r="DRP41" s="12"/>
      <c r="DRQ41" s="19"/>
      <c r="DRR41" s="16"/>
      <c r="DRS41" s="18"/>
      <c r="DRT41" s="13"/>
      <c r="DRU41" s="12"/>
      <c r="DRV41" s="18"/>
      <c r="DRW41" s="12"/>
      <c r="DRX41" s="19"/>
      <c r="DRY41" s="16"/>
      <c r="DRZ41" s="18"/>
      <c r="DSA41" s="13"/>
      <c r="DSB41" s="12"/>
      <c r="DSC41" s="18"/>
      <c r="DSD41" s="12"/>
      <c r="DSE41" s="19"/>
      <c r="DSF41" s="16"/>
      <c r="DSG41" s="18"/>
      <c r="DSH41" s="13"/>
      <c r="DSI41" s="12"/>
      <c r="DSJ41" s="18"/>
      <c r="DSK41" s="12"/>
      <c r="DSL41" s="19"/>
      <c r="DSM41" s="16"/>
      <c r="DSN41" s="18"/>
      <c r="DSO41" s="13"/>
      <c r="DSP41" s="12"/>
      <c r="DSQ41" s="18"/>
      <c r="DSR41" s="12"/>
      <c r="DSS41" s="19"/>
      <c r="DST41" s="16"/>
      <c r="DSU41" s="18"/>
      <c r="DSV41" s="13"/>
      <c r="DSW41" s="12"/>
      <c r="DSX41" s="18"/>
      <c r="DSY41" s="12"/>
      <c r="DSZ41" s="19"/>
      <c r="DTA41" s="16"/>
      <c r="DTB41" s="18"/>
      <c r="DTC41" s="13"/>
      <c r="DTD41" s="12"/>
      <c r="DTE41" s="18"/>
      <c r="DTF41" s="12"/>
      <c r="DTG41" s="19"/>
      <c r="DTH41" s="16"/>
      <c r="DTI41" s="18"/>
      <c r="DTJ41" s="13"/>
      <c r="DTK41" s="12"/>
      <c r="DTL41" s="18"/>
      <c r="DTM41" s="12"/>
      <c r="DTN41" s="19"/>
      <c r="DTO41" s="16"/>
      <c r="DTP41" s="18"/>
      <c r="DTQ41" s="13"/>
      <c r="DTR41" s="12"/>
      <c r="DTS41" s="18"/>
      <c r="DTT41" s="12"/>
      <c r="DTU41" s="19"/>
      <c r="DTV41" s="16"/>
      <c r="DTW41" s="18"/>
      <c r="DTX41" s="13"/>
      <c r="DTY41" s="12"/>
      <c r="DTZ41" s="18"/>
      <c r="DUA41" s="12"/>
      <c r="DUB41" s="19"/>
      <c r="DUC41" s="16"/>
      <c r="DUD41" s="18"/>
      <c r="DUE41" s="13"/>
      <c r="DUF41" s="12"/>
      <c r="DUG41" s="18"/>
      <c r="DUH41" s="12"/>
      <c r="DUI41" s="19"/>
      <c r="DUJ41" s="16"/>
      <c r="DUK41" s="18"/>
      <c r="DUL41" s="13"/>
      <c r="DUM41" s="12"/>
      <c r="DUN41" s="18"/>
      <c r="DUO41" s="12"/>
      <c r="DUP41" s="19"/>
      <c r="DUQ41" s="16"/>
      <c r="DUR41" s="18"/>
      <c r="DUS41" s="13"/>
      <c r="DUT41" s="12"/>
      <c r="DUU41" s="18"/>
      <c r="DUV41" s="12"/>
      <c r="DUW41" s="19"/>
      <c r="DUX41" s="16"/>
      <c r="DUY41" s="18"/>
      <c r="DUZ41" s="13"/>
      <c r="DVA41" s="12"/>
      <c r="DVB41" s="18"/>
      <c r="DVC41" s="12"/>
      <c r="DVD41" s="19"/>
      <c r="DVE41" s="16"/>
      <c r="DVF41" s="18"/>
      <c r="DVG41" s="13"/>
      <c r="DVH41" s="12"/>
      <c r="DVI41" s="18"/>
      <c r="DVJ41" s="12"/>
      <c r="DVK41" s="19"/>
      <c r="DVL41" s="16"/>
      <c r="DVM41" s="18"/>
      <c r="DVN41" s="13"/>
      <c r="DVO41" s="12"/>
      <c r="DVP41" s="18"/>
      <c r="DVQ41" s="12"/>
      <c r="DVR41" s="19"/>
      <c r="DVS41" s="16"/>
      <c r="DVT41" s="18"/>
      <c r="DVU41" s="13"/>
      <c r="DVV41" s="12"/>
      <c r="DVW41" s="18"/>
      <c r="DVX41" s="12"/>
      <c r="DVY41" s="19"/>
      <c r="DVZ41" s="16"/>
      <c r="DWA41" s="18"/>
      <c r="DWB41" s="13"/>
      <c r="DWC41" s="12"/>
      <c r="DWD41" s="18"/>
      <c r="DWE41" s="12"/>
      <c r="DWF41" s="19"/>
      <c r="DWG41" s="16"/>
      <c r="DWH41" s="18"/>
      <c r="DWI41" s="13"/>
      <c r="DWJ41" s="12"/>
      <c r="DWK41" s="18"/>
      <c r="DWL41" s="12"/>
      <c r="DWM41" s="19"/>
      <c r="DWN41" s="16"/>
      <c r="DWO41" s="18"/>
      <c r="DWP41" s="13"/>
      <c r="DWQ41" s="12"/>
      <c r="DWR41" s="18"/>
      <c r="DWS41" s="12"/>
      <c r="DWT41" s="19"/>
      <c r="DWU41" s="16"/>
      <c r="DWV41" s="18"/>
      <c r="DWW41" s="13"/>
      <c r="DWX41" s="12"/>
      <c r="DWY41" s="18"/>
      <c r="DWZ41" s="12"/>
      <c r="DXA41" s="19"/>
      <c r="DXB41" s="16"/>
      <c r="DXC41" s="18"/>
      <c r="DXD41" s="13"/>
      <c r="DXE41" s="12"/>
      <c r="DXF41" s="18"/>
      <c r="DXG41" s="12"/>
      <c r="DXH41" s="19"/>
      <c r="DXI41" s="16"/>
      <c r="DXJ41" s="18"/>
      <c r="DXK41" s="13"/>
      <c r="DXL41" s="12"/>
      <c r="DXM41" s="18"/>
      <c r="DXN41" s="12"/>
      <c r="DXO41" s="19"/>
      <c r="DXP41" s="16"/>
      <c r="DXQ41" s="18"/>
      <c r="DXR41" s="13"/>
      <c r="DXS41" s="12"/>
      <c r="DXT41" s="18"/>
      <c r="DXU41" s="12"/>
      <c r="DXV41" s="19"/>
      <c r="DXW41" s="16"/>
      <c r="DXX41" s="18"/>
      <c r="DXY41" s="13"/>
      <c r="DXZ41" s="12"/>
      <c r="DYA41" s="18"/>
      <c r="DYB41" s="12"/>
      <c r="DYC41" s="19"/>
      <c r="DYD41" s="16"/>
      <c r="DYE41" s="18"/>
      <c r="DYF41" s="13"/>
      <c r="DYG41" s="12"/>
      <c r="DYH41" s="18"/>
      <c r="DYI41" s="12"/>
      <c r="DYJ41" s="19"/>
      <c r="DYK41" s="16"/>
      <c r="DYL41" s="18"/>
      <c r="DYM41" s="13"/>
      <c r="DYN41" s="12"/>
      <c r="DYO41" s="18"/>
      <c r="DYP41" s="12"/>
      <c r="DYQ41" s="19"/>
      <c r="DYR41" s="16"/>
      <c r="DYS41" s="18"/>
      <c r="DYT41" s="13"/>
      <c r="DYU41" s="12"/>
      <c r="DYV41" s="18"/>
      <c r="DYW41" s="12"/>
      <c r="DYX41" s="19"/>
      <c r="DYY41" s="16"/>
      <c r="DYZ41" s="18"/>
      <c r="DZA41" s="13"/>
      <c r="DZB41" s="12"/>
      <c r="DZC41" s="18"/>
      <c r="DZD41" s="12"/>
      <c r="DZE41" s="19"/>
      <c r="DZF41" s="16"/>
      <c r="DZG41" s="18"/>
      <c r="DZH41" s="13"/>
      <c r="DZI41" s="12"/>
      <c r="DZJ41" s="18"/>
      <c r="DZK41" s="12"/>
      <c r="DZL41" s="19"/>
      <c r="DZM41" s="16"/>
      <c r="DZN41" s="18"/>
      <c r="DZO41" s="13"/>
      <c r="DZP41" s="12"/>
      <c r="DZQ41" s="18"/>
      <c r="DZR41" s="12"/>
      <c r="DZS41" s="19"/>
      <c r="DZT41" s="16"/>
      <c r="DZU41" s="18"/>
      <c r="DZV41" s="13"/>
      <c r="DZW41" s="12"/>
      <c r="DZX41" s="18"/>
      <c r="DZY41" s="12"/>
      <c r="DZZ41" s="19"/>
      <c r="EAA41" s="16"/>
      <c r="EAB41" s="18"/>
      <c r="EAC41" s="13"/>
      <c r="EAD41" s="12"/>
      <c r="EAE41" s="18"/>
      <c r="EAF41" s="12"/>
      <c r="EAG41" s="19"/>
      <c r="EAH41" s="16"/>
      <c r="EAI41" s="18"/>
      <c r="EAJ41" s="13"/>
      <c r="EAK41" s="12"/>
      <c r="EAL41" s="18"/>
      <c r="EAM41" s="12"/>
      <c r="EAN41" s="19"/>
      <c r="EAO41" s="16"/>
      <c r="EAP41" s="18"/>
      <c r="EAQ41" s="13"/>
      <c r="EAR41" s="12"/>
      <c r="EAS41" s="18"/>
      <c r="EAT41" s="12"/>
      <c r="EAU41" s="19"/>
      <c r="EAV41" s="16"/>
      <c r="EAW41" s="18"/>
      <c r="EAX41" s="13"/>
      <c r="EAY41" s="12"/>
      <c r="EAZ41" s="18"/>
      <c r="EBA41" s="12"/>
      <c r="EBB41" s="19"/>
      <c r="EBC41" s="16"/>
      <c r="EBD41" s="18"/>
      <c r="EBE41" s="13"/>
      <c r="EBF41" s="12"/>
      <c r="EBG41" s="18"/>
      <c r="EBH41" s="12"/>
      <c r="EBI41" s="19"/>
      <c r="EBJ41" s="16"/>
      <c r="EBK41" s="18"/>
      <c r="EBL41" s="13"/>
      <c r="EBM41" s="12"/>
      <c r="EBN41" s="18"/>
      <c r="EBO41" s="12"/>
      <c r="EBP41" s="19"/>
      <c r="EBQ41" s="16"/>
      <c r="EBR41" s="18"/>
      <c r="EBS41" s="13"/>
      <c r="EBT41" s="12"/>
      <c r="EBU41" s="18"/>
      <c r="EBV41" s="12"/>
      <c r="EBW41" s="19"/>
      <c r="EBX41" s="16"/>
      <c r="EBY41" s="18"/>
      <c r="EBZ41" s="13"/>
      <c r="ECA41" s="12"/>
      <c r="ECB41" s="18"/>
      <c r="ECC41" s="12"/>
      <c r="ECD41" s="19"/>
      <c r="ECE41" s="16"/>
      <c r="ECF41" s="18"/>
      <c r="ECG41" s="13"/>
      <c r="ECH41" s="12"/>
      <c r="ECI41" s="18"/>
      <c r="ECJ41" s="12"/>
      <c r="ECK41" s="19"/>
      <c r="ECL41" s="16"/>
      <c r="ECM41" s="18"/>
      <c r="ECN41" s="13"/>
      <c r="ECO41" s="12"/>
      <c r="ECP41" s="18"/>
      <c r="ECQ41" s="12"/>
      <c r="ECR41" s="19"/>
      <c r="ECS41" s="16"/>
      <c r="ECT41" s="18"/>
      <c r="ECU41" s="13"/>
      <c r="ECV41" s="12"/>
      <c r="ECW41" s="18"/>
      <c r="ECX41" s="12"/>
      <c r="ECY41" s="19"/>
      <c r="ECZ41" s="16"/>
      <c r="EDA41" s="18"/>
      <c r="EDB41" s="13"/>
      <c r="EDC41" s="12"/>
      <c r="EDD41" s="18"/>
      <c r="EDE41" s="12"/>
      <c r="EDF41" s="19"/>
      <c r="EDG41" s="16"/>
      <c r="EDH41" s="18"/>
      <c r="EDI41" s="13"/>
      <c r="EDJ41" s="12"/>
      <c r="EDK41" s="18"/>
      <c r="EDL41" s="12"/>
      <c r="EDM41" s="19"/>
      <c r="EDN41" s="16"/>
      <c r="EDO41" s="18"/>
      <c r="EDP41" s="13"/>
      <c r="EDQ41" s="12"/>
      <c r="EDR41" s="18"/>
      <c r="EDS41" s="12"/>
      <c r="EDT41" s="19"/>
      <c r="EDU41" s="16"/>
      <c r="EDV41" s="18"/>
      <c r="EDW41" s="13"/>
      <c r="EDX41" s="12"/>
      <c r="EDY41" s="18"/>
      <c r="EDZ41" s="12"/>
      <c r="EEA41" s="19"/>
      <c r="EEB41" s="16"/>
      <c r="EEC41" s="18"/>
      <c r="EED41" s="13"/>
      <c r="EEE41" s="12"/>
      <c r="EEF41" s="18"/>
      <c r="EEG41" s="12"/>
      <c r="EEH41" s="19"/>
      <c r="EEI41" s="16"/>
      <c r="EEJ41" s="18"/>
      <c r="EEK41" s="13"/>
      <c r="EEL41" s="12"/>
      <c r="EEM41" s="18"/>
      <c r="EEN41" s="12"/>
      <c r="EEO41" s="19"/>
      <c r="EEP41" s="16"/>
      <c r="EEQ41" s="18"/>
      <c r="EER41" s="13"/>
      <c r="EES41" s="12"/>
      <c r="EET41" s="18"/>
      <c r="EEU41" s="12"/>
      <c r="EEV41" s="19"/>
      <c r="EEW41" s="16"/>
      <c r="EEX41" s="18"/>
      <c r="EEY41" s="13"/>
      <c r="EEZ41" s="12"/>
      <c r="EFA41" s="18"/>
      <c r="EFB41" s="12"/>
      <c r="EFC41" s="19"/>
      <c r="EFD41" s="16"/>
      <c r="EFE41" s="18"/>
      <c r="EFF41" s="13"/>
      <c r="EFG41" s="12"/>
      <c r="EFH41" s="18"/>
      <c r="EFI41" s="12"/>
      <c r="EFJ41" s="19"/>
      <c r="EFK41" s="16"/>
      <c r="EFL41" s="18"/>
      <c r="EFM41" s="13"/>
      <c r="EFN41" s="12"/>
      <c r="EFO41" s="18"/>
      <c r="EFP41" s="12"/>
      <c r="EFQ41" s="19"/>
      <c r="EFR41" s="16"/>
      <c r="EFS41" s="18"/>
      <c r="EFT41" s="13"/>
      <c r="EFU41" s="12"/>
      <c r="EFV41" s="18"/>
      <c r="EFW41" s="12"/>
      <c r="EFX41" s="19"/>
      <c r="EFY41" s="16"/>
      <c r="EFZ41" s="18"/>
      <c r="EGA41" s="13"/>
      <c r="EGB41" s="12"/>
      <c r="EGC41" s="18"/>
      <c r="EGD41" s="12"/>
      <c r="EGE41" s="19"/>
      <c r="EGF41" s="16"/>
      <c r="EGG41" s="18"/>
      <c r="EGH41" s="13"/>
      <c r="EGI41" s="12"/>
      <c r="EGJ41" s="18"/>
      <c r="EGK41" s="12"/>
      <c r="EGL41" s="19"/>
      <c r="EGM41" s="16"/>
      <c r="EGN41" s="18"/>
      <c r="EGO41" s="13"/>
      <c r="EGP41" s="12"/>
      <c r="EGQ41" s="18"/>
      <c r="EGR41" s="12"/>
      <c r="EGS41" s="19"/>
      <c r="EGT41" s="16"/>
      <c r="EGU41" s="18"/>
      <c r="EGV41" s="13"/>
      <c r="EGW41" s="12"/>
      <c r="EGX41" s="18"/>
      <c r="EGY41" s="12"/>
      <c r="EGZ41" s="19"/>
      <c r="EHA41" s="16"/>
      <c r="EHB41" s="18"/>
      <c r="EHC41" s="13"/>
      <c r="EHD41" s="12"/>
      <c r="EHE41" s="18"/>
      <c r="EHF41" s="12"/>
      <c r="EHG41" s="19"/>
      <c r="EHH41" s="16"/>
      <c r="EHI41" s="18"/>
      <c r="EHJ41" s="13"/>
      <c r="EHK41" s="12"/>
      <c r="EHL41" s="18"/>
      <c r="EHM41" s="12"/>
      <c r="EHN41" s="19"/>
      <c r="EHO41" s="16"/>
      <c r="EHP41" s="18"/>
      <c r="EHQ41" s="13"/>
      <c r="EHR41" s="12"/>
      <c r="EHS41" s="18"/>
      <c r="EHT41" s="12"/>
      <c r="EHU41" s="19"/>
      <c r="EHV41" s="16"/>
      <c r="EHW41" s="18"/>
      <c r="EHX41" s="13"/>
      <c r="EHY41" s="12"/>
      <c r="EHZ41" s="18"/>
      <c r="EIA41" s="12"/>
      <c r="EIB41" s="19"/>
      <c r="EIC41" s="16"/>
      <c r="EID41" s="18"/>
      <c r="EIE41" s="13"/>
      <c r="EIF41" s="12"/>
      <c r="EIG41" s="18"/>
      <c r="EIH41" s="12"/>
      <c r="EII41" s="19"/>
      <c r="EIJ41" s="16"/>
      <c r="EIK41" s="18"/>
      <c r="EIL41" s="13"/>
      <c r="EIM41" s="12"/>
      <c r="EIN41" s="18"/>
      <c r="EIO41" s="12"/>
      <c r="EIP41" s="19"/>
      <c r="EIQ41" s="16"/>
      <c r="EIR41" s="18"/>
      <c r="EIS41" s="13"/>
      <c r="EIT41" s="12"/>
      <c r="EIU41" s="18"/>
      <c r="EIV41" s="12"/>
      <c r="EIW41" s="19"/>
      <c r="EIX41" s="16"/>
      <c r="EIY41" s="18"/>
      <c r="EIZ41" s="13"/>
      <c r="EJA41" s="12"/>
      <c r="EJB41" s="18"/>
      <c r="EJC41" s="12"/>
      <c r="EJD41" s="19"/>
      <c r="EJE41" s="16"/>
      <c r="EJF41" s="18"/>
      <c r="EJG41" s="13"/>
      <c r="EJH41" s="12"/>
      <c r="EJI41" s="18"/>
      <c r="EJJ41" s="12"/>
      <c r="EJK41" s="19"/>
      <c r="EJL41" s="16"/>
      <c r="EJM41" s="18"/>
      <c r="EJN41" s="13"/>
      <c r="EJO41" s="12"/>
      <c r="EJP41" s="18"/>
      <c r="EJQ41" s="12"/>
      <c r="EJR41" s="19"/>
      <c r="EJS41" s="16"/>
      <c r="EJT41" s="18"/>
      <c r="EJU41" s="13"/>
      <c r="EJV41" s="12"/>
      <c r="EJW41" s="18"/>
      <c r="EJX41" s="12"/>
      <c r="EJY41" s="19"/>
      <c r="EJZ41" s="16"/>
      <c r="EKA41" s="18"/>
      <c r="EKB41" s="13"/>
      <c r="EKC41" s="12"/>
      <c r="EKD41" s="18"/>
      <c r="EKE41" s="12"/>
      <c r="EKF41" s="19"/>
      <c r="EKG41" s="16"/>
      <c r="EKH41" s="18"/>
      <c r="EKI41" s="13"/>
      <c r="EKJ41" s="12"/>
      <c r="EKK41" s="18"/>
      <c r="EKL41" s="12"/>
      <c r="EKM41" s="19"/>
      <c r="EKN41" s="16"/>
      <c r="EKO41" s="18"/>
      <c r="EKP41" s="13"/>
      <c r="EKQ41" s="12"/>
      <c r="EKR41" s="18"/>
      <c r="EKS41" s="12"/>
      <c r="EKT41" s="19"/>
      <c r="EKU41" s="16"/>
      <c r="EKV41" s="18"/>
      <c r="EKW41" s="13"/>
      <c r="EKX41" s="12"/>
      <c r="EKY41" s="18"/>
      <c r="EKZ41" s="12"/>
      <c r="ELA41" s="19"/>
      <c r="ELB41" s="16"/>
      <c r="ELC41" s="18"/>
      <c r="ELD41" s="13"/>
      <c r="ELE41" s="12"/>
      <c r="ELF41" s="18"/>
      <c r="ELG41" s="12"/>
      <c r="ELH41" s="19"/>
      <c r="ELI41" s="16"/>
      <c r="ELJ41" s="18"/>
      <c r="ELK41" s="13"/>
      <c r="ELL41" s="12"/>
      <c r="ELM41" s="18"/>
      <c r="ELN41" s="12"/>
      <c r="ELO41" s="19"/>
      <c r="ELP41" s="16"/>
      <c r="ELQ41" s="18"/>
      <c r="ELR41" s="13"/>
      <c r="ELS41" s="12"/>
      <c r="ELT41" s="18"/>
      <c r="ELU41" s="12"/>
      <c r="ELV41" s="19"/>
      <c r="ELW41" s="16"/>
      <c r="ELX41" s="18"/>
      <c r="ELY41" s="13"/>
      <c r="ELZ41" s="12"/>
      <c r="EMA41" s="18"/>
      <c r="EMB41" s="12"/>
      <c r="EMC41" s="19"/>
      <c r="EMD41" s="16"/>
      <c r="EME41" s="18"/>
      <c r="EMF41" s="13"/>
      <c r="EMG41" s="12"/>
      <c r="EMH41" s="18"/>
      <c r="EMI41" s="12"/>
      <c r="EMJ41" s="19"/>
      <c r="EMK41" s="16"/>
      <c r="EML41" s="18"/>
      <c r="EMM41" s="13"/>
      <c r="EMN41" s="12"/>
      <c r="EMO41" s="18"/>
      <c r="EMP41" s="12"/>
      <c r="EMQ41" s="19"/>
      <c r="EMR41" s="16"/>
      <c r="EMS41" s="18"/>
      <c r="EMT41" s="13"/>
      <c r="EMU41" s="12"/>
      <c r="EMV41" s="18"/>
      <c r="EMW41" s="12"/>
      <c r="EMX41" s="19"/>
      <c r="EMY41" s="16"/>
      <c r="EMZ41" s="18"/>
      <c r="ENA41" s="13"/>
      <c r="ENB41" s="12"/>
      <c r="ENC41" s="18"/>
      <c r="END41" s="12"/>
      <c r="ENE41" s="19"/>
      <c r="ENF41" s="16"/>
      <c r="ENG41" s="18"/>
      <c r="ENH41" s="13"/>
      <c r="ENI41" s="12"/>
      <c r="ENJ41" s="18"/>
      <c r="ENK41" s="12"/>
      <c r="ENL41" s="19"/>
      <c r="ENM41" s="16"/>
      <c r="ENN41" s="18"/>
      <c r="ENO41" s="13"/>
      <c r="ENP41" s="12"/>
      <c r="ENQ41" s="18"/>
      <c r="ENR41" s="12"/>
      <c r="ENS41" s="19"/>
      <c r="ENT41" s="16"/>
      <c r="ENU41" s="18"/>
      <c r="ENV41" s="13"/>
      <c r="ENW41" s="12"/>
      <c r="ENX41" s="18"/>
      <c r="ENY41" s="12"/>
      <c r="ENZ41" s="19"/>
      <c r="EOA41" s="16"/>
      <c r="EOB41" s="18"/>
      <c r="EOC41" s="13"/>
      <c r="EOD41" s="12"/>
      <c r="EOE41" s="18"/>
      <c r="EOF41" s="12"/>
      <c r="EOG41" s="19"/>
      <c r="EOH41" s="16"/>
      <c r="EOI41" s="18"/>
      <c r="EOJ41" s="13"/>
      <c r="EOK41" s="12"/>
      <c r="EOL41" s="18"/>
      <c r="EOM41" s="12"/>
      <c r="EON41" s="19"/>
      <c r="EOO41" s="16"/>
      <c r="EOP41" s="18"/>
      <c r="EOQ41" s="13"/>
      <c r="EOR41" s="12"/>
      <c r="EOS41" s="18"/>
      <c r="EOT41" s="12"/>
      <c r="EOU41" s="19"/>
      <c r="EOV41" s="16"/>
      <c r="EOW41" s="18"/>
      <c r="EOX41" s="13"/>
      <c r="EOY41" s="12"/>
      <c r="EOZ41" s="18"/>
      <c r="EPA41" s="12"/>
      <c r="EPB41" s="19"/>
      <c r="EPC41" s="16"/>
      <c r="EPD41" s="18"/>
      <c r="EPE41" s="13"/>
      <c r="EPF41" s="12"/>
      <c r="EPG41" s="18"/>
      <c r="EPH41" s="12"/>
      <c r="EPI41" s="19"/>
      <c r="EPJ41" s="16"/>
      <c r="EPK41" s="18"/>
      <c r="EPL41" s="13"/>
      <c r="EPM41" s="12"/>
      <c r="EPN41" s="18"/>
      <c r="EPO41" s="12"/>
      <c r="EPP41" s="19"/>
      <c r="EPQ41" s="16"/>
      <c r="EPR41" s="18"/>
      <c r="EPS41" s="13"/>
      <c r="EPT41" s="12"/>
      <c r="EPU41" s="18"/>
      <c r="EPV41" s="12"/>
      <c r="EPW41" s="19"/>
      <c r="EPX41" s="16"/>
      <c r="EPY41" s="18"/>
      <c r="EPZ41" s="13"/>
      <c r="EQA41" s="12"/>
      <c r="EQB41" s="18"/>
      <c r="EQC41" s="12"/>
      <c r="EQD41" s="19"/>
      <c r="EQE41" s="16"/>
      <c r="EQF41" s="18"/>
      <c r="EQG41" s="13"/>
      <c r="EQH41" s="12"/>
      <c r="EQI41" s="18"/>
      <c r="EQJ41" s="12"/>
      <c r="EQK41" s="19"/>
      <c r="EQL41" s="16"/>
      <c r="EQM41" s="18"/>
      <c r="EQN41" s="13"/>
      <c r="EQO41" s="12"/>
      <c r="EQP41" s="18"/>
      <c r="EQQ41" s="12"/>
      <c r="EQR41" s="19"/>
      <c r="EQS41" s="16"/>
      <c r="EQT41" s="18"/>
      <c r="EQU41" s="13"/>
      <c r="EQV41" s="12"/>
      <c r="EQW41" s="18"/>
      <c r="EQX41" s="12"/>
      <c r="EQY41" s="19"/>
      <c r="EQZ41" s="16"/>
      <c r="ERA41" s="18"/>
      <c r="ERB41" s="13"/>
      <c r="ERC41" s="12"/>
      <c r="ERD41" s="18"/>
      <c r="ERE41" s="12"/>
      <c r="ERF41" s="19"/>
      <c r="ERG41" s="16"/>
      <c r="ERH41" s="18"/>
      <c r="ERI41" s="13"/>
      <c r="ERJ41" s="12"/>
      <c r="ERK41" s="18"/>
      <c r="ERL41" s="12"/>
      <c r="ERM41" s="19"/>
      <c r="ERN41" s="16"/>
      <c r="ERO41" s="18"/>
      <c r="ERP41" s="13"/>
      <c r="ERQ41" s="12"/>
      <c r="ERR41" s="18"/>
      <c r="ERS41" s="12"/>
      <c r="ERT41" s="19"/>
      <c r="ERU41" s="16"/>
      <c r="ERV41" s="18"/>
      <c r="ERW41" s="13"/>
      <c r="ERX41" s="12"/>
      <c r="ERY41" s="18"/>
      <c r="ERZ41" s="12"/>
      <c r="ESA41" s="19"/>
      <c r="ESB41" s="16"/>
      <c r="ESC41" s="18"/>
      <c r="ESD41" s="13"/>
      <c r="ESE41" s="12"/>
      <c r="ESF41" s="18"/>
      <c r="ESG41" s="12"/>
      <c r="ESH41" s="19"/>
      <c r="ESI41" s="16"/>
      <c r="ESJ41" s="18"/>
      <c r="ESK41" s="13"/>
      <c r="ESL41" s="12"/>
      <c r="ESM41" s="18"/>
      <c r="ESN41" s="12"/>
      <c r="ESO41" s="19"/>
      <c r="ESP41" s="16"/>
      <c r="ESQ41" s="18"/>
      <c r="ESR41" s="13"/>
      <c r="ESS41" s="12"/>
      <c r="EST41" s="18"/>
      <c r="ESU41" s="12"/>
      <c r="ESV41" s="19"/>
      <c r="ESW41" s="16"/>
      <c r="ESX41" s="18"/>
      <c r="ESY41" s="13"/>
      <c r="ESZ41" s="12"/>
      <c r="ETA41" s="18"/>
      <c r="ETB41" s="12"/>
      <c r="ETC41" s="19"/>
      <c r="ETD41" s="16"/>
      <c r="ETE41" s="18"/>
      <c r="ETF41" s="13"/>
      <c r="ETG41" s="12"/>
      <c r="ETH41" s="18"/>
      <c r="ETI41" s="12"/>
      <c r="ETJ41" s="19"/>
      <c r="ETK41" s="16"/>
      <c r="ETL41" s="18"/>
      <c r="ETM41" s="13"/>
      <c r="ETN41" s="12"/>
      <c r="ETO41" s="18"/>
      <c r="ETP41" s="12"/>
      <c r="ETQ41" s="19"/>
      <c r="ETR41" s="16"/>
      <c r="ETS41" s="18"/>
      <c r="ETT41" s="13"/>
      <c r="ETU41" s="12"/>
      <c r="ETV41" s="18"/>
      <c r="ETW41" s="12"/>
      <c r="ETX41" s="19"/>
      <c r="ETY41" s="16"/>
      <c r="ETZ41" s="18"/>
      <c r="EUA41" s="13"/>
      <c r="EUB41" s="12"/>
      <c r="EUC41" s="18"/>
      <c r="EUD41" s="12"/>
      <c r="EUE41" s="19"/>
      <c r="EUF41" s="16"/>
      <c r="EUG41" s="18"/>
      <c r="EUH41" s="13"/>
      <c r="EUI41" s="12"/>
      <c r="EUJ41" s="18"/>
      <c r="EUK41" s="12"/>
      <c r="EUL41" s="19"/>
      <c r="EUM41" s="16"/>
      <c r="EUN41" s="18"/>
      <c r="EUO41" s="13"/>
      <c r="EUP41" s="12"/>
      <c r="EUQ41" s="18"/>
      <c r="EUR41" s="12"/>
      <c r="EUS41" s="19"/>
      <c r="EUT41" s="16"/>
      <c r="EUU41" s="18"/>
      <c r="EUV41" s="13"/>
      <c r="EUW41" s="12"/>
      <c r="EUX41" s="18"/>
      <c r="EUY41" s="12"/>
      <c r="EUZ41" s="19"/>
      <c r="EVA41" s="16"/>
      <c r="EVB41" s="18"/>
      <c r="EVC41" s="13"/>
      <c r="EVD41" s="12"/>
      <c r="EVE41" s="18"/>
      <c r="EVF41" s="12"/>
      <c r="EVG41" s="19"/>
      <c r="EVH41" s="16"/>
      <c r="EVI41" s="18"/>
      <c r="EVJ41" s="13"/>
      <c r="EVK41" s="12"/>
      <c r="EVL41" s="18"/>
      <c r="EVM41" s="12"/>
      <c r="EVN41" s="19"/>
      <c r="EVO41" s="16"/>
      <c r="EVP41" s="18"/>
      <c r="EVQ41" s="13"/>
      <c r="EVR41" s="12"/>
      <c r="EVS41" s="18"/>
      <c r="EVT41" s="12"/>
      <c r="EVU41" s="19"/>
      <c r="EVV41" s="16"/>
      <c r="EVW41" s="18"/>
      <c r="EVX41" s="13"/>
      <c r="EVY41" s="12"/>
      <c r="EVZ41" s="18"/>
      <c r="EWA41" s="12"/>
      <c r="EWB41" s="19"/>
      <c r="EWC41" s="16"/>
      <c r="EWD41" s="18"/>
      <c r="EWE41" s="13"/>
      <c r="EWF41" s="12"/>
      <c r="EWG41" s="18"/>
      <c r="EWH41" s="12"/>
      <c r="EWI41" s="19"/>
      <c r="EWJ41" s="16"/>
      <c r="EWK41" s="18"/>
      <c r="EWL41" s="13"/>
      <c r="EWM41" s="12"/>
      <c r="EWN41" s="18"/>
      <c r="EWO41" s="12"/>
      <c r="EWP41" s="19"/>
      <c r="EWQ41" s="16"/>
      <c r="EWR41" s="18"/>
      <c r="EWS41" s="13"/>
      <c r="EWT41" s="12"/>
      <c r="EWU41" s="18"/>
      <c r="EWV41" s="12"/>
      <c r="EWW41" s="19"/>
      <c r="EWX41" s="16"/>
      <c r="EWY41" s="18"/>
      <c r="EWZ41" s="13"/>
      <c r="EXA41" s="12"/>
      <c r="EXB41" s="18"/>
      <c r="EXC41" s="12"/>
      <c r="EXD41" s="19"/>
      <c r="EXE41" s="16"/>
      <c r="EXF41" s="18"/>
      <c r="EXG41" s="13"/>
      <c r="EXH41" s="12"/>
      <c r="EXI41" s="18"/>
      <c r="EXJ41" s="12"/>
      <c r="EXK41" s="19"/>
      <c r="EXL41" s="16"/>
      <c r="EXM41" s="18"/>
      <c r="EXN41" s="13"/>
      <c r="EXO41" s="12"/>
      <c r="EXP41" s="18"/>
      <c r="EXQ41" s="12"/>
      <c r="EXR41" s="19"/>
      <c r="EXS41" s="16"/>
      <c r="EXT41" s="18"/>
      <c r="EXU41" s="13"/>
      <c r="EXV41" s="12"/>
      <c r="EXW41" s="18"/>
      <c r="EXX41" s="12"/>
      <c r="EXY41" s="19"/>
      <c r="EXZ41" s="16"/>
      <c r="EYA41" s="18"/>
      <c r="EYB41" s="13"/>
      <c r="EYC41" s="12"/>
      <c r="EYD41" s="18"/>
      <c r="EYE41" s="12"/>
      <c r="EYF41" s="19"/>
      <c r="EYG41" s="16"/>
      <c r="EYH41" s="18"/>
      <c r="EYI41" s="13"/>
      <c r="EYJ41" s="12"/>
      <c r="EYK41" s="18"/>
      <c r="EYL41" s="12"/>
      <c r="EYM41" s="19"/>
      <c r="EYN41" s="16"/>
      <c r="EYO41" s="18"/>
      <c r="EYP41" s="13"/>
      <c r="EYQ41" s="12"/>
      <c r="EYR41" s="18"/>
      <c r="EYS41" s="12"/>
      <c r="EYT41" s="19"/>
      <c r="EYU41" s="16"/>
      <c r="EYV41" s="18"/>
      <c r="EYW41" s="13"/>
      <c r="EYX41" s="12"/>
      <c r="EYY41" s="18"/>
      <c r="EYZ41" s="12"/>
      <c r="EZA41" s="19"/>
      <c r="EZB41" s="16"/>
      <c r="EZC41" s="18"/>
      <c r="EZD41" s="13"/>
      <c r="EZE41" s="12"/>
      <c r="EZF41" s="18"/>
      <c r="EZG41" s="12"/>
      <c r="EZH41" s="19"/>
      <c r="EZI41" s="16"/>
      <c r="EZJ41" s="18"/>
      <c r="EZK41" s="13"/>
      <c r="EZL41" s="12"/>
      <c r="EZM41" s="18"/>
      <c r="EZN41" s="12"/>
      <c r="EZO41" s="19"/>
      <c r="EZP41" s="16"/>
      <c r="EZQ41" s="18"/>
      <c r="EZR41" s="13"/>
      <c r="EZS41" s="12"/>
      <c r="EZT41" s="18"/>
      <c r="EZU41" s="12"/>
      <c r="EZV41" s="19"/>
      <c r="EZW41" s="16"/>
      <c r="EZX41" s="18"/>
      <c r="EZY41" s="13"/>
      <c r="EZZ41" s="12"/>
      <c r="FAA41" s="18"/>
      <c r="FAB41" s="12"/>
      <c r="FAC41" s="19"/>
      <c r="FAD41" s="16"/>
      <c r="FAE41" s="18"/>
      <c r="FAF41" s="13"/>
      <c r="FAG41" s="12"/>
      <c r="FAH41" s="18"/>
      <c r="FAI41" s="12"/>
      <c r="FAJ41" s="19"/>
      <c r="FAK41" s="16"/>
      <c r="FAL41" s="18"/>
      <c r="FAM41" s="13"/>
      <c r="FAN41" s="12"/>
      <c r="FAO41" s="18"/>
      <c r="FAP41" s="12"/>
      <c r="FAQ41" s="19"/>
      <c r="FAR41" s="16"/>
      <c r="FAS41" s="18"/>
      <c r="FAT41" s="13"/>
      <c r="FAU41" s="12"/>
      <c r="FAV41" s="18"/>
      <c r="FAW41" s="12"/>
      <c r="FAX41" s="19"/>
      <c r="FAY41" s="16"/>
      <c r="FAZ41" s="18"/>
      <c r="FBA41" s="13"/>
      <c r="FBB41" s="12"/>
      <c r="FBC41" s="18"/>
      <c r="FBD41" s="12"/>
      <c r="FBE41" s="19"/>
      <c r="FBF41" s="16"/>
      <c r="FBG41" s="18"/>
      <c r="FBH41" s="13"/>
      <c r="FBI41" s="12"/>
      <c r="FBJ41" s="18"/>
      <c r="FBK41" s="12"/>
      <c r="FBL41" s="19"/>
      <c r="FBM41" s="16"/>
      <c r="FBN41" s="18"/>
      <c r="FBO41" s="13"/>
      <c r="FBP41" s="12"/>
      <c r="FBQ41" s="18"/>
      <c r="FBR41" s="12"/>
      <c r="FBS41" s="19"/>
      <c r="FBT41" s="16"/>
      <c r="FBU41" s="18"/>
      <c r="FBV41" s="13"/>
      <c r="FBW41" s="12"/>
      <c r="FBX41" s="18"/>
      <c r="FBY41" s="12"/>
      <c r="FBZ41" s="19"/>
      <c r="FCA41" s="16"/>
      <c r="FCB41" s="18"/>
      <c r="FCC41" s="13"/>
      <c r="FCD41" s="12"/>
      <c r="FCE41" s="18"/>
      <c r="FCF41" s="12"/>
      <c r="FCG41" s="19"/>
      <c r="FCH41" s="16"/>
      <c r="FCI41" s="18"/>
      <c r="FCJ41" s="13"/>
      <c r="FCK41" s="12"/>
      <c r="FCL41" s="18"/>
      <c r="FCM41" s="12"/>
      <c r="FCN41" s="19"/>
      <c r="FCO41" s="16"/>
      <c r="FCP41" s="18"/>
      <c r="FCQ41" s="13"/>
      <c r="FCR41" s="12"/>
      <c r="FCS41" s="18"/>
      <c r="FCT41" s="12"/>
      <c r="FCU41" s="19"/>
      <c r="FCV41" s="16"/>
      <c r="FCW41" s="18"/>
      <c r="FCX41" s="13"/>
      <c r="FCY41" s="12"/>
      <c r="FCZ41" s="18"/>
      <c r="FDA41" s="12"/>
      <c r="FDB41" s="19"/>
      <c r="FDC41" s="16"/>
      <c r="FDD41" s="18"/>
      <c r="FDE41" s="13"/>
      <c r="FDF41" s="12"/>
      <c r="FDG41" s="18"/>
      <c r="FDH41" s="12"/>
      <c r="FDI41" s="19"/>
      <c r="FDJ41" s="16"/>
      <c r="FDK41" s="18"/>
      <c r="FDL41" s="13"/>
      <c r="FDM41" s="12"/>
      <c r="FDN41" s="18"/>
      <c r="FDO41" s="12"/>
      <c r="FDP41" s="19"/>
      <c r="FDQ41" s="16"/>
      <c r="FDR41" s="18"/>
      <c r="FDS41" s="13"/>
      <c r="FDT41" s="12"/>
      <c r="FDU41" s="18"/>
      <c r="FDV41" s="12"/>
      <c r="FDW41" s="19"/>
      <c r="FDX41" s="16"/>
      <c r="FDY41" s="18"/>
      <c r="FDZ41" s="13"/>
      <c r="FEA41" s="12"/>
      <c r="FEB41" s="18"/>
      <c r="FEC41" s="12"/>
      <c r="FED41" s="19"/>
      <c r="FEE41" s="16"/>
      <c r="FEF41" s="18"/>
      <c r="FEG41" s="13"/>
      <c r="FEH41" s="12"/>
      <c r="FEI41" s="18"/>
      <c r="FEJ41" s="12"/>
      <c r="FEK41" s="19"/>
      <c r="FEL41" s="16"/>
      <c r="FEM41" s="18"/>
      <c r="FEN41" s="13"/>
      <c r="FEO41" s="12"/>
      <c r="FEP41" s="18"/>
      <c r="FEQ41" s="12"/>
      <c r="FER41" s="19"/>
      <c r="FES41" s="16"/>
      <c r="FET41" s="18"/>
      <c r="FEU41" s="13"/>
      <c r="FEV41" s="12"/>
      <c r="FEW41" s="18"/>
      <c r="FEX41" s="12"/>
      <c r="FEY41" s="19"/>
      <c r="FEZ41" s="16"/>
      <c r="FFA41" s="18"/>
      <c r="FFB41" s="13"/>
      <c r="FFC41" s="12"/>
      <c r="FFD41" s="18"/>
      <c r="FFE41" s="12"/>
      <c r="FFF41" s="19"/>
      <c r="FFG41" s="16"/>
      <c r="FFH41" s="18"/>
      <c r="FFI41" s="13"/>
      <c r="FFJ41" s="12"/>
      <c r="FFK41" s="18"/>
      <c r="FFL41" s="12"/>
      <c r="FFM41" s="19"/>
      <c r="FFN41" s="16"/>
      <c r="FFO41" s="18"/>
      <c r="FFP41" s="13"/>
      <c r="FFQ41" s="12"/>
      <c r="FFR41" s="18"/>
      <c r="FFS41" s="12"/>
      <c r="FFT41" s="19"/>
      <c r="FFU41" s="16"/>
      <c r="FFV41" s="18"/>
      <c r="FFW41" s="13"/>
      <c r="FFX41" s="12"/>
      <c r="FFY41" s="18"/>
      <c r="FFZ41" s="12"/>
      <c r="FGA41" s="19"/>
      <c r="FGB41" s="16"/>
      <c r="FGC41" s="18"/>
      <c r="FGD41" s="13"/>
      <c r="FGE41" s="12"/>
      <c r="FGF41" s="18"/>
      <c r="FGG41" s="12"/>
      <c r="FGH41" s="19"/>
      <c r="FGI41" s="16"/>
      <c r="FGJ41" s="18"/>
      <c r="FGK41" s="13"/>
      <c r="FGL41" s="12"/>
      <c r="FGM41" s="18"/>
      <c r="FGN41" s="12"/>
      <c r="FGO41" s="19"/>
      <c r="FGP41" s="16"/>
      <c r="FGQ41" s="18"/>
      <c r="FGR41" s="13"/>
      <c r="FGS41" s="12"/>
      <c r="FGT41" s="18"/>
      <c r="FGU41" s="12"/>
      <c r="FGV41" s="19"/>
      <c r="FGW41" s="16"/>
      <c r="FGX41" s="18"/>
      <c r="FGY41" s="13"/>
      <c r="FGZ41" s="12"/>
      <c r="FHA41" s="18"/>
      <c r="FHB41" s="12"/>
      <c r="FHC41" s="19"/>
      <c r="FHD41" s="16"/>
      <c r="FHE41" s="18"/>
      <c r="FHF41" s="13"/>
      <c r="FHG41" s="12"/>
      <c r="FHH41" s="18"/>
      <c r="FHI41" s="12"/>
      <c r="FHJ41" s="19"/>
      <c r="FHK41" s="16"/>
      <c r="FHL41" s="18"/>
      <c r="FHM41" s="13"/>
      <c r="FHN41" s="12"/>
      <c r="FHO41" s="18"/>
      <c r="FHP41" s="12"/>
      <c r="FHQ41" s="19"/>
      <c r="FHR41" s="16"/>
      <c r="FHS41" s="18"/>
      <c r="FHT41" s="13"/>
      <c r="FHU41" s="12"/>
      <c r="FHV41" s="18"/>
      <c r="FHW41" s="12"/>
      <c r="FHX41" s="19"/>
      <c r="FHY41" s="16"/>
      <c r="FHZ41" s="18"/>
      <c r="FIA41" s="13"/>
      <c r="FIB41" s="12"/>
      <c r="FIC41" s="18"/>
      <c r="FID41" s="12"/>
      <c r="FIE41" s="19"/>
      <c r="FIF41" s="16"/>
      <c r="FIG41" s="18"/>
      <c r="FIH41" s="13"/>
      <c r="FII41" s="12"/>
      <c r="FIJ41" s="18"/>
      <c r="FIK41" s="12"/>
      <c r="FIL41" s="19"/>
      <c r="FIM41" s="16"/>
      <c r="FIN41" s="18"/>
      <c r="FIO41" s="13"/>
      <c r="FIP41" s="12"/>
      <c r="FIQ41" s="18"/>
      <c r="FIR41" s="12"/>
      <c r="FIS41" s="19"/>
      <c r="FIT41" s="16"/>
      <c r="FIU41" s="18"/>
      <c r="FIV41" s="13"/>
      <c r="FIW41" s="12"/>
      <c r="FIX41" s="18"/>
      <c r="FIY41" s="12"/>
      <c r="FIZ41" s="19"/>
      <c r="FJA41" s="16"/>
      <c r="FJB41" s="18"/>
      <c r="FJC41" s="13"/>
      <c r="FJD41" s="12"/>
      <c r="FJE41" s="18"/>
      <c r="FJF41" s="12"/>
      <c r="FJG41" s="19"/>
      <c r="FJH41" s="16"/>
      <c r="FJI41" s="18"/>
      <c r="FJJ41" s="13"/>
      <c r="FJK41" s="12"/>
      <c r="FJL41" s="18"/>
      <c r="FJM41" s="12"/>
      <c r="FJN41" s="19"/>
      <c r="FJO41" s="16"/>
      <c r="FJP41" s="18"/>
      <c r="FJQ41" s="13"/>
      <c r="FJR41" s="12"/>
      <c r="FJS41" s="18"/>
      <c r="FJT41" s="12"/>
      <c r="FJU41" s="19"/>
      <c r="FJV41" s="16"/>
      <c r="FJW41" s="18"/>
      <c r="FJX41" s="13"/>
      <c r="FJY41" s="12"/>
      <c r="FJZ41" s="18"/>
      <c r="FKA41" s="12"/>
      <c r="FKB41" s="19"/>
      <c r="FKC41" s="16"/>
      <c r="FKD41" s="18"/>
      <c r="FKE41" s="13"/>
      <c r="FKF41" s="12"/>
      <c r="FKG41" s="18"/>
      <c r="FKH41" s="12"/>
      <c r="FKI41" s="19"/>
      <c r="FKJ41" s="16"/>
      <c r="FKK41" s="18"/>
      <c r="FKL41" s="13"/>
      <c r="FKM41" s="12"/>
      <c r="FKN41" s="18"/>
      <c r="FKO41" s="12"/>
      <c r="FKP41" s="19"/>
      <c r="FKQ41" s="16"/>
      <c r="FKR41" s="18"/>
      <c r="FKS41" s="13"/>
      <c r="FKT41" s="12"/>
      <c r="FKU41" s="18"/>
      <c r="FKV41" s="12"/>
      <c r="FKW41" s="19"/>
      <c r="FKX41" s="16"/>
      <c r="FKY41" s="18"/>
      <c r="FKZ41" s="13"/>
      <c r="FLA41" s="12"/>
      <c r="FLB41" s="18"/>
      <c r="FLC41" s="12"/>
      <c r="FLD41" s="19"/>
      <c r="FLE41" s="16"/>
      <c r="FLF41" s="18"/>
      <c r="FLG41" s="13"/>
      <c r="FLH41" s="12"/>
      <c r="FLI41" s="18"/>
      <c r="FLJ41" s="12"/>
      <c r="FLK41" s="19"/>
      <c r="FLL41" s="16"/>
      <c r="FLM41" s="18"/>
      <c r="FLN41" s="13"/>
      <c r="FLO41" s="12"/>
      <c r="FLP41" s="18"/>
      <c r="FLQ41" s="12"/>
      <c r="FLR41" s="19"/>
      <c r="FLS41" s="16"/>
      <c r="FLT41" s="18"/>
      <c r="FLU41" s="13"/>
      <c r="FLV41" s="12"/>
      <c r="FLW41" s="18"/>
      <c r="FLX41" s="12"/>
      <c r="FLY41" s="19"/>
      <c r="FLZ41" s="16"/>
      <c r="FMA41" s="18"/>
      <c r="FMB41" s="13"/>
      <c r="FMC41" s="12"/>
      <c r="FMD41" s="18"/>
      <c r="FME41" s="12"/>
      <c r="FMF41" s="19"/>
      <c r="FMG41" s="16"/>
      <c r="FMH41" s="18"/>
      <c r="FMI41" s="13"/>
      <c r="FMJ41" s="12"/>
      <c r="FMK41" s="18"/>
      <c r="FML41" s="12"/>
      <c r="FMM41" s="19"/>
      <c r="FMN41" s="16"/>
      <c r="FMO41" s="18"/>
      <c r="FMP41" s="13"/>
      <c r="FMQ41" s="12"/>
      <c r="FMR41" s="18"/>
      <c r="FMS41" s="12"/>
      <c r="FMT41" s="19"/>
      <c r="FMU41" s="16"/>
      <c r="FMV41" s="18"/>
      <c r="FMW41" s="13"/>
      <c r="FMX41" s="12"/>
      <c r="FMY41" s="18"/>
      <c r="FMZ41" s="12"/>
      <c r="FNA41" s="19"/>
      <c r="FNB41" s="16"/>
      <c r="FNC41" s="18"/>
      <c r="FND41" s="13"/>
      <c r="FNE41" s="12"/>
      <c r="FNF41" s="18"/>
      <c r="FNG41" s="12"/>
      <c r="FNH41" s="19"/>
      <c r="FNI41" s="16"/>
      <c r="FNJ41" s="18"/>
      <c r="FNK41" s="13"/>
      <c r="FNL41" s="12"/>
      <c r="FNM41" s="18"/>
      <c r="FNN41" s="12"/>
      <c r="FNO41" s="19"/>
      <c r="FNP41" s="16"/>
      <c r="FNQ41" s="18"/>
      <c r="FNR41" s="13"/>
      <c r="FNS41" s="12"/>
      <c r="FNT41" s="18"/>
      <c r="FNU41" s="12"/>
      <c r="FNV41" s="19"/>
      <c r="FNW41" s="16"/>
      <c r="FNX41" s="18"/>
      <c r="FNY41" s="13"/>
      <c r="FNZ41" s="12"/>
      <c r="FOA41" s="18"/>
      <c r="FOB41" s="12"/>
      <c r="FOC41" s="19"/>
      <c r="FOD41" s="16"/>
      <c r="FOE41" s="18"/>
      <c r="FOF41" s="13"/>
      <c r="FOG41" s="12"/>
      <c r="FOH41" s="18"/>
      <c r="FOI41" s="12"/>
      <c r="FOJ41" s="19"/>
      <c r="FOK41" s="16"/>
      <c r="FOL41" s="18"/>
      <c r="FOM41" s="13"/>
      <c r="FON41" s="12"/>
      <c r="FOO41" s="18"/>
      <c r="FOP41" s="12"/>
      <c r="FOQ41" s="19"/>
      <c r="FOR41" s="16"/>
      <c r="FOS41" s="18"/>
      <c r="FOT41" s="13"/>
      <c r="FOU41" s="12"/>
      <c r="FOV41" s="18"/>
      <c r="FOW41" s="12"/>
      <c r="FOX41" s="19"/>
      <c r="FOY41" s="16"/>
      <c r="FOZ41" s="18"/>
      <c r="FPA41" s="13"/>
      <c r="FPB41" s="12"/>
      <c r="FPC41" s="18"/>
      <c r="FPD41" s="12"/>
      <c r="FPE41" s="19"/>
      <c r="FPF41" s="16"/>
      <c r="FPG41" s="18"/>
      <c r="FPH41" s="13"/>
      <c r="FPI41" s="12"/>
      <c r="FPJ41" s="18"/>
      <c r="FPK41" s="12"/>
      <c r="FPL41" s="19"/>
      <c r="FPM41" s="16"/>
      <c r="FPN41" s="18"/>
      <c r="FPO41" s="13"/>
      <c r="FPP41" s="12"/>
      <c r="FPQ41" s="18"/>
      <c r="FPR41" s="12"/>
      <c r="FPS41" s="19"/>
      <c r="FPT41" s="16"/>
      <c r="FPU41" s="18"/>
      <c r="FPV41" s="13"/>
      <c r="FPW41" s="12"/>
      <c r="FPX41" s="18"/>
      <c r="FPY41" s="12"/>
      <c r="FPZ41" s="19"/>
      <c r="FQA41" s="16"/>
      <c r="FQB41" s="18"/>
      <c r="FQC41" s="13"/>
      <c r="FQD41" s="12"/>
      <c r="FQE41" s="18"/>
      <c r="FQF41" s="12"/>
      <c r="FQG41" s="19"/>
      <c r="FQH41" s="16"/>
      <c r="FQI41" s="18"/>
      <c r="FQJ41" s="13"/>
      <c r="FQK41" s="12"/>
      <c r="FQL41" s="18"/>
      <c r="FQM41" s="12"/>
      <c r="FQN41" s="19"/>
      <c r="FQO41" s="16"/>
      <c r="FQP41" s="18"/>
      <c r="FQQ41" s="13"/>
      <c r="FQR41" s="12"/>
      <c r="FQS41" s="18"/>
      <c r="FQT41" s="12"/>
      <c r="FQU41" s="19"/>
      <c r="FQV41" s="16"/>
      <c r="FQW41" s="18"/>
      <c r="FQX41" s="13"/>
      <c r="FQY41" s="12"/>
      <c r="FQZ41" s="18"/>
      <c r="FRA41" s="12"/>
      <c r="FRB41" s="19"/>
      <c r="FRC41" s="16"/>
      <c r="FRD41" s="18"/>
      <c r="FRE41" s="13"/>
      <c r="FRF41" s="12"/>
      <c r="FRG41" s="18"/>
      <c r="FRH41" s="12"/>
      <c r="FRI41" s="19"/>
      <c r="FRJ41" s="16"/>
      <c r="FRK41" s="18"/>
      <c r="FRL41" s="13"/>
      <c r="FRM41" s="12"/>
      <c r="FRN41" s="18"/>
      <c r="FRO41" s="12"/>
      <c r="FRP41" s="19"/>
      <c r="FRQ41" s="16"/>
      <c r="FRR41" s="18"/>
      <c r="FRS41" s="13"/>
      <c r="FRT41" s="12"/>
      <c r="FRU41" s="18"/>
      <c r="FRV41" s="12"/>
      <c r="FRW41" s="19"/>
      <c r="FRX41" s="16"/>
      <c r="FRY41" s="18"/>
      <c r="FRZ41" s="13"/>
      <c r="FSA41" s="12"/>
      <c r="FSB41" s="18"/>
      <c r="FSC41" s="12"/>
      <c r="FSD41" s="19"/>
      <c r="FSE41" s="16"/>
      <c r="FSF41" s="18"/>
      <c r="FSG41" s="13"/>
      <c r="FSH41" s="12"/>
      <c r="FSI41" s="18"/>
      <c r="FSJ41" s="12"/>
      <c r="FSK41" s="19"/>
      <c r="FSL41" s="16"/>
      <c r="FSM41" s="18"/>
      <c r="FSN41" s="13"/>
      <c r="FSO41" s="12"/>
      <c r="FSP41" s="18"/>
      <c r="FSQ41" s="12"/>
      <c r="FSR41" s="19"/>
      <c r="FSS41" s="16"/>
      <c r="FST41" s="18"/>
      <c r="FSU41" s="13"/>
      <c r="FSV41" s="12"/>
      <c r="FSW41" s="18"/>
      <c r="FSX41" s="12"/>
      <c r="FSY41" s="19"/>
      <c r="FSZ41" s="16"/>
      <c r="FTA41" s="18"/>
      <c r="FTB41" s="13"/>
      <c r="FTC41" s="12"/>
      <c r="FTD41" s="18"/>
      <c r="FTE41" s="12"/>
      <c r="FTF41" s="19"/>
      <c r="FTG41" s="16"/>
      <c r="FTH41" s="18"/>
      <c r="FTI41" s="13"/>
      <c r="FTJ41" s="12"/>
      <c r="FTK41" s="18"/>
      <c r="FTL41" s="12"/>
      <c r="FTM41" s="19"/>
      <c r="FTN41" s="16"/>
      <c r="FTO41" s="18"/>
      <c r="FTP41" s="13"/>
      <c r="FTQ41" s="12"/>
      <c r="FTR41" s="18"/>
      <c r="FTS41" s="12"/>
      <c r="FTT41" s="19"/>
      <c r="FTU41" s="16"/>
      <c r="FTV41" s="18"/>
      <c r="FTW41" s="13"/>
      <c r="FTX41" s="12"/>
      <c r="FTY41" s="18"/>
      <c r="FTZ41" s="12"/>
      <c r="FUA41" s="19"/>
      <c r="FUB41" s="16"/>
      <c r="FUC41" s="18"/>
      <c r="FUD41" s="13"/>
      <c r="FUE41" s="12"/>
      <c r="FUF41" s="18"/>
      <c r="FUG41" s="12"/>
      <c r="FUH41" s="19"/>
      <c r="FUI41" s="16"/>
      <c r="FUJ41" s="18"/>
      <c r="FUK41" s="13"/>
      <c r="FUL41" s="12"/>
      <c r="FUM41" s="18"/>
      <c r="FUN41" s="12"/>
      <c r="FUO41" s="19"/>
      <c r="FUP41" s="16"/>
      <c r="FUQ41" s="18"/>
      <c r="FUR41" s="13"/>
      <c r="FUS41" s="12"/>
      <c r="FUT41" s="18"/>
      <c r="FUU41" s="12"/>
      <c r="FUV41" s="19"/>
      <c r="FUW41" s="16"/>
      <c r="FUX41" s="18"/>
      <c r="FUY41" s="13"/>
      <c r="FUZ41" s="12"/>
      <c r="FVA41" s="18"/>
      <c r="FVB41" s="12"/>
      <c r="FVC41" s="19"/>
      <c r="FVD41" s="16"/>
      <c r="FVE41" s="18"/>
      <c r="FVF41" s="13"/>
      <c r="FVG41" s="12"/>
      <c r="FVH41" s="18"/>
      <c r="FVI41" s="12"/>
      <c r="FVJ41" s="19"/>
      <c r="FVK41" s="16"/>
      <c r="FVL41" s="18"/>
      <c r="FVM41" s="13"/>
      <c r="FVN41" s="12"/>
      <c r="FVO41" s="18"/>
      <c r="FVP41" s="12"/>
      <c r="FVQ41" s="19"/>
      <c r="FVR41" s="16"/>
      <c r="FVS41" s="18"/>
      <c r="FVT41" s="13"/>
      <c r="FVU41" s="12"/>
      <c r="FVV41" s="18"/>
      <c r="FVW41" s="12"/>
      <c r="FVX41" s="19"/>
      <c r="FVY41" s="16"/>
      <c r="FVZ41" s="18"/>
      <c r="FWA41" s="13"/>
      <c r="FWB41" s="12"/>
      <c r="FWC41" s="18"/>
      <c r="FWD41" s="12"/>
      <c r="FWE41" s="19"/>
      <c r="FWF41" s="16"/>
      <c r="FWG41" s="18"/>
      <c r="FWH41" s="13"/>
      <c r="FWI41" s="12"/>
      <c r="FWJ41" s="18"/>
      <c r="FWK41" s="12"/>
      <c r="FWL41" s="19"/>
      <c r="FWM41" s="16"/>
      <c r="FWN41" s="18"/>
      <c r="FWO41" s="13"/>
      <c r="FWP41" s="12"/>
      <c r="FWQ41" s="18"/>
      <c r="FWR41" s="12"/>
      <c r="FWS41" s="19"/>
      <c r="FWT41" s="16"/>
      <c r="FWU41" s="18"/>
      <c r="FWV41" s="13"/>
      <c r="FWW41" s="12"/>
      <c r="FWX41" s="18"/>
      <c r="FWY41" s="12"/>
      <c r="FWZ41" s="19"/>
      <c r="FXA41" s="16"/>
      <c r="FXB41" s="18"/>
      <c r="FXC41" s="13"/>
      <c r="FXD41" s="12"/>
      <c r="FXE41" s="18"/>
      <c r="FXF41" s="12"/>
      <c r="FXG41" s="19"/>
      <c r="FXH41" s="16"/>
      <c r="FXI41" s="18"/>
      <c r="FXJ41" s="13"/>
      <c r="FXK41" s="12"/>
      <c r="FXL41" s="18"/>
      <c r="FXM41" s="12"/>
      <c r="FXN41" s="19"/>
      <c r="FXO41" s="16"/>
      <c r="FXP41" s="18"/>
      <c r="FXQ41" s="13"/>
      <c r="FXR41" s="12"/>
      <c r="FXS41" s="18"/>
      <c r="FXT41" s="12"/>
      <c r="FXU41" s="19"/>
      <c r="FXV41" s="16"/>
      <c r="FXW41" s="18"/>
      <c r="FXX41" s="13"/>
      <c r="FXY41" s="12"/>
      <c r="FXZ41" s="18"/>
      <c r="FYA41" s="12"/>
      <c r="FYB41" s="19"/>
      <c r="FYC41" s="16"/>
      <c r="FYD41" s="18"/>
      <c r="FYE41" s="13"/>
      <c r="FYF41" s="12"/>
      <c r="FYG41" s="18"/>
      <c r="FYH41" s="12"/>
      <c r="FYI41" s="19"/>
      <c r="FYJ41" s="16"/>
      <c r="FYK41" s="18"/>
      <c r="FYL41" s="13"/>
      <c r="FYM41" s="12"/>
      <c r="FYN41" s="18"/>
      <c r="FYO41" s="12"/>
      <c r="FYP41" s="19"/>
      <c r="FYQ41" s="16"/>
      <c r="FYR41" s="18"/>
      <c r="FYS41" s="13"/>
      <c r="FYT41" s="12"/>
      <c r="FYU41" s="18"/>
      <c r="FYV41" s="12"/>
      <c r="FYW41" s="19"/>
      <c r="FYX41" s="16"/>
      <c r="FYY41" s="18"/>
      <c r="FYZ41" s="13"/>
      <c r="FZA41" s="12"/>
      <c r="FZB41" s="18"/>
      <c r="FZC41" s="12"/>
      <c r="FZD41" s="19"/>
      <c r="FZE41" s="16"/>
      <c r="FZF41" s="18"/>
      <c r="FZG41" s="13"/>
      <c r="FZH41" s="12"/>
      <c r="FZI41" s="18"/>
      <c r="FZJ41" s="12"/>
      <c r="FZK41" s="19"/>
      <c r="FZL41" s="16"/>
      <c r="FZM41" s="18"/>
      <c r="FZN41" s="13"/>
      <c r="FZO41" s="12"/>
      <c r="FZP41" s="18"/>
      <c r="FZQ41" s="12"/>
      <c r="FZR41" s="19"/>
      <c r="FZS41" s="16"/>
      <c r="FZT41" s="18"/>
      <c r="FZU41" s="13"/>
      <c r="FZV41" s="12"/>
      <c r="FZW41" s="18"/>
      <c r="FZX41" s="12"/>
      <c r="FZY41" s="19"/>
      <c r="FZZ41" s="16"/>
      <c r="GAA41" s="18"/>
      <c r="GAB41" s="13"/>
      <c r="GAC41" s="12"/>
      <c r="GAD41" s="18"/>
      <c r="GAE41" s="12"/>
      <c r="GAF41" s="19"/>
      <c r="GAG41" s="16"/>
      <c r="GAH41" s="18"/>
      <c r="GAI41" s="13"/>
      <c r="GAJ41" s="12"/>
      <c r="GAK41" s="18"/>
      <c r="GAL41" s="12"/>
      <c r="GAM41" s="19"/>
      <c r="GAN41" s="16"/>
      <c r="GAO41" s="18"/>
      <c r="GAP41" s="13"/>
      <c r="GAQ41" s="12"/>
      <c r="GAR41" s="18"/>
      <c r="GAS41" s="12"/>
      <c r="GAT41" s="19"/>
      <c r="GAU41" s="16"/>
      <c r="GAV41" s="18"/>
      <c r="GAW41" s="13"/>
      <c r="GAX41" s="12"/>
      <c r="GAY41" s="18"/>
      <c r="GAZ41" s="12"/>
      <c r="GBA41" s="19"/>
      <c r="GBB41" s="16"/>
      <c r="GBC41" s="18"/>
      <c r="GBD41" s="13"/>
      <c r="GBE41" s="12"/>
      <c r="GBF41" s="18"/>
      <c r="GBG41" s="12"/>
      <c r="GBH41" s="19"/>
      <c r="GBI41" s="16"/>
      <c r="GBJ41" s="18"/>
      <c r="GBK41" s="13"/>
      <c r="GBL41" s="12"/>
      <c r="GBM41" s="18"/>
      <c r="GBN41" s="12"/>
      <c r="GBO41" s="19"/>
      <c r="GBP41" s="16"/>
      <c r="GBQ41" s="18"/>
      <c r="GBR41" s="13"/>
      <c r="GBS41" s="12"/>
      <c r="GBT41" s="18"/>
      <c r="GBU41" s="12"/>
      <c r="GBV41" s="19"/>
      <c r="GBW41" s="16"/>
      <c r="GBX41" s="18"/>
      <c r="GBY41" s="13"/>
      <c r="GBZ41" s="12"/>
      <c r="GCA41" s="18"/>
      <c r="GCB41" s="12"/>
      <c r="GCC41" s="19"/>
      <c r="GCD41" s="16"/>
      <c r="GCE41" s="18"/>
      <c r="GCF41" s="13"/>
      <c r="GCG41" s="12"/>
      <c r="GCH41" s="18"/>
      <c r="GCI41" s="12"/>
      <c r="GCJ41" s="19"/>
      <c r="GCK41" s="16"/>
      <c r="GCL41" s="18"/>
      <c r="GCM41" s="13"/>
      <c r="GCN41" s="12"/>
      <c r="GCO41" s="18"/>
      <c r="GCP41" s="12"/>
      <c r="GCQ41" s="19"/>
      <c r="GCR41" s="16"/>
      <c r="GCS41" s="18"/>
      <c r="GCT41" s="13"/>
      <c r="GCU41" s="12"/>
      <c r="GCV41" s="18"/>
      <c r="GCW41" s="12"/>
      <c r="GCX41" s="19"/>
      <c r="GCY41" s="16"/>
      <c r="GCZ41" s="18"/>
      <c r="GDA41" s="13"/>
      <c r="GDB41" s="12"/>
      <c r="GDC41" s="18"/>
      <c r="GDD41" s="12"/>
      <c r="GDE41" s="19"/>
      <c r="GDF41" s="16"/>
      <c r="GDG41" s="18"/>
      <c r="GDH41" s="13"/>
      <c r="GDI41" s="12"/>
      <c r="GDJ41" s="18"/>
      <c r="GDK41" s="12"/>
      <c r="GDL41" s="19"/>
      <c r="GDM41" s="16"/>
      <c r="GDN41" s="18"/>
      <c r="GDO41" s="13"/>
      <c r="GDP41" s="12"/>
      <c r="GDQ41" s="18"/>
      <c r="GDR41" s="12"/>
      <c r="GDS41" s="19"/>
      <c r="GDT41" s="16"/>
      <c r="GDU41" s="18"/>
      <c r="GDV41" s="13"/>
      <c r="GDW41" s="12"/>
      <c r="GDX41" s="18"/>
      <c r="GDY41" s="12"/>
      <c r="GDZ41" s="19"/>
      <c r="GEA41" s="16"/>
      <c r="GEB41" s="18"/>
      <c r="GEC41" s="13"/>
      <c r="GED41" s="12"/>
      <c r="GEE41" s="18"/>
      <c r="GEF41" s="12"/>
      <c r="GEG41" s="19"/>
      <c r="GEH41" s="16"/>
      <c r="GEI41" s="18"/>
      <c r="GEJ41" s="13"/>
      <c r="GEK41" s="12"/>
      <c r="GEL41" s="18"/>
      <c r="GEM41" s="12"/>
      <c r="GEN41" s="19"/>
      <c r="GEO41" s="16"/>
      <c r="GEP41" s="18"/>
      <c r="GEQ41" s="13"/>
      <c r="GER41" s="12"/>
      <c r="GES41" s="18"/>
      <c r="GET41" s="12"/>
      <c r="GEU41" s="19"/>
      <c r="GEV41" s="16"/>
      <c r="GEW41" s="18"/>
      <c r="GEX41" s="13"/>
      <c r="GEY41" s="12"/>
      <c r="GEZ41" s="18"/>
      <c r="GFA41" s="12"/>
      <c r="GFB41" s="19"/>
      <c r="GFC41" s="16"/>
      <c r="GFD41" s="18"/>
      <c r="GFE41" s="13"/>
      <c r="GFF41" s="12"/>
      <c r="GFG41" s="18"/>
      <c r="GFH41" s="12"/>
      <c r="GFI41" s="19"/>
      <c r="GFJ41" s="16"/>
      <c r="GFK41" s="18"/>
      <c r="GFL41" s="13"/>
      <c r="GFM41" s="12"/>
      <c r="GFN41" s="18"/>
      <c r="GFO41" s="12"/>
      <c r="GFP41" s="19"/>
      <c r="GFQ41" s="16"/>
      <c r="GFR41" s="18"/>
      <c r="GFS41" s="13"/>
      <c r="GFT41" s="12"/>
      <c r="GFU41" s="18"/>
      <c r="GFV41" s="12"/>
      <c r="GFW41" s="19"/>
      <c r="GFX41" s="16"/>
      <c r="GFY41" s="18"/>
      <c r="GFZ41" s="13"/>
      <c r="GGA41" s="12"/>
      <c r="GGB41" s="18"/>
      <c r="GGC41" s="12"/>
      <c r="GGD41" s="19"/>
      <c r="GGE41" s="16"/>
      <c r="GGF41" s="18"/>
      <c r="GGG41" s="13"/>
      <c r="GGH41" s="12"/>
      <c r="GGI41" s="18"/>
      <c r="GGJ41" s="12"/>
      <c r="GGK41" s="19"/>
      <c r="GGL41" s="16"/>
      <c r="GGM41" s="18"/>
      <c r="GGN41" s="13"/>
      <c r="GGO41" s="12"/>
      <c r="GGP41" s="18"/>
      <c r="GGQ41" s="12"/>
      <c r="GGR41" s="19"/>
      <c r="GGS41" s="16"/>
      <c r="GGT41" s="18"/>
      <c r="GGU41" s="13"/>
      <c r="GGV41" s="12"/>
      <c r="GGW41" s="18"/>
      <c r="GGX41" s="12"/>
      <c r="GGY41" s="19"/>
      <c r="GGZ41" s="16"/>
      <c r="GHA41" s="18"/>
      <c r="GHB41" s="13"/>
      <c r="GHC41" s="12"/>
      <c r="GHD41" s="18"/>
      <c r="GHE41" s="12"/>
      <c r="GHF41" s="19"/>
      <c r="GHG41" s="16"/>
      <c r="GHH41" s="18"/>
      <c r="GHI41" s="13"/>
      <c r="GHJ41" s="12"/>
      <c r="GHK41" s="18"/>
      <c r="GHL41" s="12"/>
      <c r="GHM41" s="19"/>
      <c r="GHN41" s="16"/>
      <c r="GHO41" s="18"/>
      <c r="GHP41" s="13"/>
      <c r="GHQ41" s="12"/>
      <c r="GHR41" s="18"/>
      <c r="GHS41" s="12"/>
      <c r="GHT41" s="19"/>
      <c r="GHU41" s="16"/>
      <c r="GHV41" s="18"/>
      <c r="GHW41" s="13"/>
      <c r="GHX41" s="12"/>
      <c r="GHY41" s="18"/>
      <c r="GHZ41" s="12"/>
      <c r="GIA41" s="19"/>
      <c r="GIB41" s="16"/>
      <c r="GIC41" s="18"/>
      <c r="GID41" s="13"/>
      <c r="GIE41" s="12"/>
      <c r="GIF41" s="18"/>
      <c r="GIG41" s="12"/>
      <c r="GIH41" s="19"/>
      <c r="GII41" s="16"/>
      <c r="GIJ41" s="18"/>
      <c r="GIK41" s="13"/>
      <c r="GIL41" s="12"/>
      <c r="GIM41" s="18"/>
      <c r="GIN41" s="12"/>
      <c r="GIO41" s="19"/>
      <c r="GIP41" s="16"/>
      <c r="GIQ41" s="18"/>
      <c r="GIR41" s="13"/>
      <c r="GIS41" s="12"/>
      <c r="GIT41" s="18"/>
      <c r="GIU41" s="12"/>
      <c r="GIV41" s="19"/>
      <c r="GIW41" s="16"/>
      <c r="GIX41" s="18"/>
      <c r="GIY41" s="13"/>
      <c r="GIZ41" s="12"/>
      <c r="GJA41" s="18"/>
      <c r="GJB41" s="12"/>
      <c r="GJC41" s="19"/>
      <c r="GJD41" s="16"/>
      <c r="GJE41" s="18"/>
      <c r="GJF41" s="13"/>
      <c r="GJG41" s="12"/>
      <c r="GJH41" s="18"/>
      <c r="GJI41" s="12"/>
      <c r="GJJ41" s="19"/>
      <c r="GJK41" s="16"/>
      <c r="GJL41" s="18"/>
      <c r="GJM41" s="13"/>
      <c r="GJN41" s="12"/>
      <c r="GJO41" s="18"/>
      <c r="GJP41" s="12"/>
      <c r="GJQ41" s="19"/>
      <c r="GJR41" s="16"/>
      <c r="GJS41" s="18"/>
      <c r="GJT41" s="13"/>
      <c r="GJU41" s="12"/>
      <c r="GJV41" s="18"/>
      <c r="GJW41" s="12"/>
      <c r="GJX41" s="19"/>
      <c r="GJY41" s="16"/>
      <c r="GJZ41" s="18"/>
      <c r="GKA41" s="13"/>
      <c r="GKB41" s="12"/>
      <c r="GKC41" s="18"/>
      <c r="GKD41" s="12"/>
      <c r="GKE41" s="19"/>
      <c r="GKF41" s="16"/>
      <c r="GKG41" s="18"/>
      <c r="GKH41" s="13"/>
      <c r="GKI41" s="12"/>
      <c r="GKJ41" s="18"/>
      <c r="GKK41" s="12"/>
      <c r="GKL41" s="19"/>
      <c r="GKM41" s="16"/>
      <c r="GKN41" s="18"/>
      <c r="GKO41" s="13"/>
      <c r="GKP41" s="12"/>
      <c r="GKQ41" s="18"/>
      <c r="GKR41" s="12"/>
      <c r="GKS41" s="19"/>
      <c r="GKT41" s="16"/>
      <c r="GKU41" s="18"/>
      <c r="GKV41" s="13"/>
      <c r="GKW41" s="12"/>
      <c r="GKX41" s="18"/>
      <c r="GKY41" s="12"/>
      <c r="GKZ41" s="19"/>
      <c r="GLA41" s="16"/>
      <c r="GLB41" s="18"/>
      <c r="GLC41" s="13"/>
      <c r="GLD41" s="12"/>
      <c r="GLE41" s="18"/>
      <c r="GLF41" s="12"/>
      <c r="GLG41" s="19"/>
      <c r="GLH41" s="16"/>
      <c r="GLI41" s="18"/>
      <c r="GLJ41" s="13"/>
      <c r="GLK41" s="12"/>
      <c r="GLL41" s="18"/>
      <c r="GLM41" s="12"/>
      <c r="GLN41" s="19"/>
      <c r="GLO41" s="16"/>
      <c r="GLP41" s="18"/>
      <c r="GLQ41" s="13"/>
      <c r="GLR41" s="12"/>
      <c r="GLS41" s="18"/>
      <c r="GLT41" s="12"/>
      <c r="GLU41" s="19"/>
      <c r="GLV41" s="16"/>
      <c r="GLW41" s="18"/>
      <c r="GLX41" s="13"/>
      <c r="GLY41" s="12"/>
      <c r="GLZ41" s="18"/>
      <c r="GMA41" s="12"/>
      <c r="GMB41" s="19"/>
      <c r="GMC41" s="16"/>
      <c r="GMD41" s="18"/>
      <c r="GME41" s="13"/>
      <c r="GMF41" s="12"/>
      <c r="GMG41" s="18"/>
      <c r="GMH41" s="12"/>
      <c r="GMI41" s="19"/>
      <c r="GMJ41" s="16"/>
      <c r="GMK41" s="18"/>
      <c r="GML41" s="13"/>
      <c r="GMM41" s="12"/>
      <c r="GMN41" s="18"/>
      <c r="GMO41" s="12"/>
      <c r="GMP41" s="19"/>
      <c r="GMQ41" s="16"/>
      <c r="GMR41" s="18"/>
      <c r="GMS41" s="13"/>
      <c r="GMT41" s="12"/>
      <c r="GMU41" s="18"/>
      <c r="GMV41" s="12"/>
      <c r="GMW41" s="19"/>
      <c r="GMX41" s="16"/>
      <c r="GMY41" s="18"/>
      <c r="GMZ41" s="13"/>
      <c r="GNA41" s="12"/>
      <c r="GNB41" s="18"/>
      <c r="GNC41" s="12"/>
      <c r="GND41" s="19"/>
      <c r="GNE41" s="16"/>
      <c r="GNF41" s="18"/>
      <c r="GNG41" s="13"/>
      <c r="GNH41" s="12"/>
      <c r="GNI41" s="18"/>
      <c r="GNJ41" s="12"/>
      <c r="GNK41" s="19"/>
      <c r="GNL41" s="16"/>
      <c r="GNM41" s="18"/>
      <c r="GNN41" s="13"/>
      <c r="GNO41" s="12"/>
      <c r="GNP41" s="18"/>
      <c r="GNQ41" s="12"/>
      <c r="GNR41" s="19"/>
      <c r="GNS41" s="16"/>
      <c r="GNT41" s="18"/>
      <c r="GNU41" s="13"/>
      <c r="GNV41" s="12"/>
      <c r="GNW41" s="18"/>
      <c r="GNX41" s="12"/>
      <c r="GNY41" s="19"/>
      <c r="GNZ41" s="16"/>
      <c r="GOA41" s="18"/>
      <c r="GOB41" s="13"/>
      <c r="GOC41" s="12"/>
      <c r="GOD41" s="18"/>
      <c r="GOE41" s="12"/>
      <c r="GOF41" s="19"/>
      <c r="GOG41" s="16"/>
      <c r="GOH41" s="18"/>
      <c r="GOI41" s="13"/>
      <c r="GOJ41" s="12"/>
      <c r="GOK41" s="18"/>
      <c r="GOL41" s="12"/>
      <c r="GOM41" s="19"/>
      <c r="GON41" s="16"/>
      <c r="GOO41" s="18"/>
      <c r="GOP41" s="13"/>
      <c r="GOQ41" s="12"/>
      <c r="GOR41" s="18"/>
      <c r="GOS41" s="12"/>
      <c r="GOT41" s="19"/>
      <c r="GOU41" s="16"/>
      <c r="GOV41" s="18"/>
      <c r="GOW41" s="13"/>
      <c r="GOX41" s="12"/>
      <c r="GOY41" s="18"/>
      <c r="GOZ41" s="12"/>
      <c r="GPA41" s="19"/>
      <c r="GPB41" s="16"/>
      <c r="GPC41" s="18"/>
      <c r="GPD41" s="13"/>
      <c r="GPE41" s="12"/>
      <c r="GPF41" s="18"/>
      <c r="GPG41" s="12"/>
      <c r="GPH41" s="19"/>
      <c r="GPI41" s="16"/>
      <c r="GPJ41" s="18"/>
      <c r="GPK41" s="13"/>
      <c r="GPL41" s="12"/>
      <c r="GPM41" s="18"/>
      <c r="GPN41" s="12"/>
      <c r="GPO41" s="19"/>
      <c r="GPP41" s="16"/>
      <c r="GPQ41" s="18"/>
      <c r="GPR41" s="13"/>
      <c r="GPS41" s="12"/>
      <c r="GPT41" s="18"/>
      <c r="GPU41" s="12"/>
      <c r="GPV41" s="19"/>
      <c r="GPW41" s="16"/>
      <c r="GPX41" s="18"/>
      <c r="GPY41" s="13"/>
      <c r="GPZ41" s="12"/>
      <c r="GQA41" s="18"/>
      <c r="GQB41" s="12"/>
      <c r="GQC41" s="19"/>
      <c r="GQD41" s="16"/>
      <c r="GQE41" s="18"/>
      <c r="GQF41" s="13"/>
      <c r="GQG41" s="12"/>
      <c r="GQH41" s="18"/>
      <c r="GQI41" s="12"/>
      <c r="GQJ41" s="19"/>
      <c r="GQK41" s="16"/>
      <c r="GQL41" s="18"/>
      <c r="GQM41" s="13"/>
      <c r="GQN41" s="12"/>
      <c r="GQO41" s="18"/>
      <c r="GQP41" s="12"/>
      <c r="GQQ41" s="19"/>
      <c r="GQR41" s="16"/>
      <c r="GQS41" s="18"/>
      <c r="GQT41" s="13"/>
      <c r="GQU41" s="12"/>
      <c r="GQV41" s="18"/>
      <c r="GQW41" s="12"/>
      <c r="GQX41" s="19"/>
      <c r="GQY41" s="16"/>
      <c r="GQZ41" s="18"/>
      <c r="GRA41" s="13"/>
      <c r="GRB41" s="12"/>
      <c r="GRC41" s="18"/>
      <c r="GRD41" s="12"/>
      <c r="GRE41" s="19"/>
      <c r="GRF41" s="16"/>
      <c r="GRG41" s="18"/>
      <c r="GRH41" s="13"/>
      <c r="GRI41" s="12"/>
      <c r="GRJ41" s="18"/>
      <c r="GRK41" s="12"/>
      <c r="GRL41" s="19"/>
      <c r="GRM41" s="16"/>
      <c r="GRN41" s="18"/>
      <c r="GRO41" s="13"/>
      <c r="GRP41" s="12"/>
      <c r="GRQ41" s="18"/>
      <c r="GRR41" s="12"/>
      <c r="GRS41" s="19"/>
      <c r="GRT41" s="16"/>
      <c r="GRU41" s="18"/>
      <c r="GRV41" s="13"/>
      <c r="GRW41" s="12"/>
      <c r="GRX41" s="18"/>
      <c r="GRY41" s="12"/>
      <c r="GRZ41" s="19"/>
      <c r="GSA41" s="16"/>
      <c r="GSB41" s="18"/>
      <c r="GSC41" s="13"/>
      <c r="GSD41" s="12"/>
      <c r="GSE41" s="18"/>
      <c r="GSF41" s="12"/>
      <c r="GSG41" s="19"/>
      <c r="GSH41" s="16"/>
      <c r="GSI41" s="18"/>
      <c r="GSJ41" s="13"/>
      <c r="GSK41" s="12"/>
      <c r="GSL41" s="18"/>
      <c r="GSM41" s="12"/>
      <c r="GSN41" s="19"/>
      <c r="GSO41" s="16"/>
      <c r="GSP41" s="18"/>
      <c r="GSQ41" s="13"/>
      <c r="GSR41" s="12"/>
      <c r="GSS41" s="18"/>
      <c r="GST41" s="12"/>
      <c r="GSU41" s="19"/>
      <c r="GSV41" s="16"/>
      <c r="GSW41" s="18"/>
      <c r="GSX41" s="13"/>
      <c r="GSY41" s="12"/>
      <c r="GSZ41" s="18"/>
      <c r="GTA41" s="12"/>
      <c r="GTB41" s="19"/>
      <c r="GTC41" s="16"/>
      <c r="GTD41" s="18"/>
      <c r="GTE41" s="13"/>
      <c r="GTF41" s="12"/>
      <c r="GTG41" s="18"/>
      <c r="GTH41" s="12"/>
      <c r="GTI41" s="19"/>
      <c r="GTJ41" s="16"/>
      <c r="GTK41" s="18"/>
      <c r="GTL41" s="13"/>
      <c r="GTM41" s="12"/>
      <c r="GTN41" s="18"/>
      <c r="GTO41" s="12"/>
      <c r="GTP41" s="19"/>
      <c r="GTQ41" s="16"/>
      <c r="GTR41" s="18"/>
      <c r="GTS41" s="13"/>
      <c r="GTT41" s="12"/>
      <c r="GTU41" s="18"/>
      <c r="GTV41" s="12"/>
      <c r="GTW41" s="19"/>
      <c r="GTX41" s="16"/>
      <c r="GTY41" s="18"/>
      <c r="GTZ41" s="13"/>
      <c r="GUA41" s="12"/>
      <c r="GUB41" s="18"/>
      <c r="GUC41" s="12"/>
      <c r="GUD41" s="19"/>
      <c r="GUE41" s="16"/>
      <c r="GUF41" s="18"/>
      <c r="GUG41" s="13"/>
      <c r="GUH41" s="12"/>
      <c r="GUI41" s="18"/>
      <c r="GUJ41" s="12"/>
      <c r="GUK41" s="19"/>
      <c r="GUL41" s="16"/>
      <c r="GUM41" s="18"/>
      <c r="GUN41" s="13"/>
      <c r="GUO41" s="12"/>
      <c r="GUP41" s="18"/>
      <c r="GUQ41" s="12"/>
      <c r="GUR41" s="19"/>
      <c r="GUS41" s="16"/>
      <c r="GUT41" s="18"/>
      <c r="GUU41" s="13"/>
      <c r="GUV41" s="12"/>
      <c r="GUW41" s="18"/>
      <c r="GUX41" s="12"/>
      <c r="GUY41" s="19"/>
      <c r="GUZ41" s="16"/>
      <c r="GVA41" s="18"/>
      <c r="GVB41" s="13"/>
      <c r="GVC41" s="12"/>
      <c r="GVD41" s="18"/>
      <c r="GVE41" s="12"/>
      <c r="GVF41" s="19"/>
      <c r="GVG41" s="16"/>
      <c r="GVH41" s="18"/>
      <c r="GVI41" s="13"/>
      <c r="GVJ41" s="12"/>
      <c r="GVK41" s="18"/>
      <c r="GVL41" s="12"/>
      <c r="GVM41" s="19"/>
      <c r="GVN41" s="16"/>
      <c r="GVO41" s="18"/>
      <c r="GVP41" s="13"/>
      <c r="GVQ41" s="12"/>
      <c r="GVR41" s="18"/>
      <c r="GVS41" s="12"/>
      <c r="GVT41" s="19"/>
      <c r="GVU41" s="16"/>
      <c r="GVV41" s="18"/>
      <c r="GVW41" s="13"/>
      <c r="GVX41" s="12"/>
      <c r="GVY41" s="18"/>
      <c r="GVZ41" s="12"/>
      <c r="GWA41" s="19"/>
      <c r="GWB41" s="16"/>
      <c r="GWC41" s="18"/>
      <c r="GWD41" s="13"/>
      <c r="GWE41" s="12"/>
      <c r="GWF41" s="18"/>
      <c r="GWG41" s="12"/>
      <c r="GWH41" s="19"/>
      <c r="GWI41" s="16"/>
      <c r="GWJ41" s="18"/>
      <c r="GWK41" s="13"/>
      <c r="GWL41" s="12"/>
      <c r="GWM41" s="18"/>
      <c r="GWN41" s="12"/>
      <c r="GWO41" s="19"/>
      <c r="GWP41" s="16"/>
      <c r="GWQ41" s="18"/>
      <c r="GWR41" s="13"/>
      <c r="GWS41" s="12"/>
      <c r="GWT41" s="18"/>
      <c r="GWU41" s="12"/>
      <c r="GWV41" s="19"/>
      <c r="GWW41" s="16"/>
      <c r="GWX41" s="18"/>
      <c r="GWY41" s="13"/>
      <c r="GWZ41" s="12"/>
      <c r="GXA41" s="18"/>
      <c r="GXB41" s="12"/>
      <c r="GXC41" s="19"/>
      <c r="GXD41" s="16"/>
      <c r="GXE41" s="18"/>
      <c r="GXF41" s="13"/>
      <c r="GXG41" s="12"/>
      <c r="GXH41" s="18"/>
      <c r="GXI41" s="12"/>
      <c r="GXJ41" s="19"/>
      <c r="GXK41" s="16"/>
      <c r="GXL41" s="18"/>
      <c r="GXM41" s="13"/>
      <c r="GXN41" s="12"/>
      <c r="GXO41" s="18"/>
      <c r="GXP41" s="12"/>
      <c r="GXQ41" s="19"/>
      <c r="GXR41" s="16"/>
      <c r="GXS41" s="18"/>
      <c r="GXT41" s="13"/>
      <c r="GXU41" s="12"/>
      <c r="GXV41" s="18"/>
      <c r="GXW41" s="12"/>
      <c r="GXX41" s="19"/>
      <c r="GXY41" s="16"/>
      <c r="GXZ41" s="18"/>
      <c r="GYA41" s="13"/>
      <c r="GYB41" s="12"/>
      <c r="GYC41" s="18"/>
      <c r="GYD41" s="12"/>
      <c r="GYE41" s="19"/>
      <c r="GYF41" s="16"/>
      <c r="GYG41" s="18"/>
      <c r="GYH41" s="13"/>
      <c r="GYI41" s="12"/>
      <c r="GYJ41" s="18"/>
      <c r="GYK41" s="12"/>
      <c r="GYL41" s="19"/>
      <c r="GYM41" s="16"/>
      <c r="GYN41" s="18"/>
      <c r="GYO41" s="13"/>
      <c r="GYP41" s="12"/>
      <c r="GYQ41" s="18"/>
      <c r="GYR41" s="12"/>
      <c r="GYS41" s="19"/>
      <c r="GYT41" s="16"/>
      <c r="GYU41" s="18"/>
      <c r="GYV41" s="13"/>
      <c r="GYW41" s="12"/>
      <c r="GYX41" s="18"/>
      <c r="GYY41" s="12"/>
      <c r="GYZ41" s="19"/>
      <c r="GZA41" s="16"/>
      <c r="GZB41" s="18"/>
      <c r="GZC41" s="13"/>
      <c r="GZD41" s="12"/>
      <c r="GZE41" s="18"/>
      <c r="GZF41" s="12"/>
      <c r="GZG41" s="19"/>
      <c r="GZH41" s="16"/>
      <c r="GZI41" s="18"/>
      <c r="GZJ41" s="13"/>
      <c r="GZK41" s="12"/>
      <c r="GZL41" s="18"/>
      <c r="GZM41" s="12"/>
      <c r="GZN41" s="19"/>
      <c r="GZO41" s="16"/>
      <c r="GZP41" s="18"/>
      <c r="GZQ41" s="13"/>
      <c r="GZR41" s="12"/>
      <c r="GZS41" s="18"/>
      <c r="GZT41" s="12"/>
      <c r="GZU41" s="19"/>
      <c r="GZV41" s="16"/>
      <c r="GZW41" s="18"/>
      <c r="GZX41" s="13"/>
      <c r="GZY41" s="12"/>
      <c r="GZZ41" s="18"/>
      <c r="HAA41" s="12"/>
      <c r="HAB41" s="19"/>
      <c r="HAC41" s="16"/>
      <c r="HAD41" s="18"/>
      <c r="HAE41" s="13"/>
      <c r="HAF41" s="12"/>
      <c r="HAG41" s="18"/>
      <c r="HAH41" s="12"/>
      <c r="HAI41" s="19"/>
      <c r="HAJ41" s="16"/>
      <c r="HAK41" s="18"/>
      <c r="HAL41" s="13"/>
      <c r="HAM41" s="12"/>
      <c r="HAN41" s="18"/>
      <c r="HAO41" s="12"/>
      <c r="HAP41" s="19"/>
      <c r="HAQ41" s="16"/>
      <c r="HAR41" s="18"/>
      <c r="HAS41" s="13"/>
      <c r="HAT41" s="12"/>
      <c r="HAU41" s="18"/>
      <c r="HAV41" s="12"/>
      <c r="HAW41" s="19"/>
      <c r="HAX41" s="16"/>
      <c r="HAY41" s="18"/>
      <c r="HAZ41" s="13"/>
      <c r="HBA41" s="12"/>
      <c r="HBB41" s="18"/>
      <c r="HBC41" s="12"/>
      <c r="HBD41" s="19"/>
      <c r="HBE41" s="16"/>
      <c r="HBF41" s="18"/>
      <c r="HBG41" s="13"/>
      <c r="HBH41" s="12"/>
      <c r="HBI41" s="18"/>
      <c r="HBJ41" s="12"/>
      <c r="HBK41" s="19"/>
      <c r="HBL41" s="16"/>
      <c r="HBM41" s="18"/>
      <c r="HBN41" s="13"/>
      <c r="HBO41" s="12"/>
      <c r="HBP41" s="18"/>
      <c r="HBQ41" s="12"/>
      <c r="HBR41" s="19"/>
      <c r="HBS41" s="16"/>
      <c r="HBT41" s="18"/>
      <c r="HBU41" s="13"/>
      <c r="HBV41" s="12"/>
      <c r="HBW41" s="18"/>
      <c r="HBX41" s="12"/>
      <c r="HBY41" s="19"/>
      <c r="HBZ41" s="16"/>
      <c r="HCA41" s="18"/>
      <c r="HCB41" s="13"/>
      <c r="HCC41" s="12"/>
      <c r="HCD41" s="18"/>
      <c r="HCE41" s="12"/>
      <c r="HCF41" s="19"/>
      <c r="HCG41" s="16"/>
      <c r="HCH41" s="18"/>
      <c r="HCI41" s="13"/>
      <c r="HCJ41" s="12"/>
      <c r="HCK41" s="18"/>
      <c r="HCL41" s="12"/>
      <c r="HCM41" s="19"/>
      <c r="HCN41" s="16"/>
      <c r="HCO41" s="18"/>
      <c r="HCP41" s="13"/>
      <c r="HCQ41" s="12"/>
      <c r="HCR41" s="18"/>
      <c r="HCS41" s="12"/>
      <c r="HCT41" s="19"/>
      <c r="HCU41" s="16"/>
      <c r="HCV41" s="18"/>
      <c r="HCW41" s="13"/>
      <c r="HCX41" s="12"/>
      <c r="HCY41" s="18"/>
      <c r="HCZ41" s="12"/>
      <c r="HDA41" s="19"/>
      <c r="HDB41" s="16"/>
      <c r="HDC41" s="18"/>
      <c r="HDD41" s="13"/>
      <c r="HDE41" s="12"/>
      <c r="HDF41" s="18"/>
      <c r="HDG41" s="12"/>
      <c r="HDH41" s="19"/>
      <c r="HDI41" s="16"/>
      <c r="HDJ41" s="18"/>
      <c r="HDK41" s="13"/>
      <c r="HDL41" s="12"/>
      <c r="HDM41" s="18"/>
      <c r="HDN41" s="12"/>
      <c r="HDO41" s="19"/>
      <c r="HDP41" s="16"/>
      <c r="HDQ41" s="18"/>
      <c r="HDR41" s="13"/>
      <c r="HDS41" s="12"/>
      <c r="HDT41" s="18"/>
      <c r="HDU41" s="12"/>
      <c r="HDV41" s="19"/>
      <c r="HDW41" s="16"/>
      <c r="HDX41" s="18"/>
      <c r="HDY41" s="13"/>
      <c r="HDZ41" s="12"/>
      <c r="HEA41" s="18"/>
      <c r="HEB41" s="12"/>
      <c r="HEC41" s="19"/>
      <c r="HED41" s="16"/>
      <c r="HEE41" s="18"/>
      <c r="HEF41" s="13"/>
      <c r="HEG41" s="12"/>
      <c r="HEH41" s="18"/>
      <c r="HEI41" s="12"/>
      <c r="HEJ41" s="19"/>
      <c r="HEK41" s="16"/>
      <c r="HEL41" s="18"/>
      <c r="HEM41" s="13"/>
      <c r="HEN41" s="12"/>
      <c r="HEO41" s="18"/>
      <c r="HEP41" s="12"/>
      <c r="HEQ41" s="19"/>
      <c r="HER41" s="16"/>
      <c r="HES41" s="18"/>
      <c r="HET41" s="13"/>
      <c r="HEU41" s="12"/>
      <c r="HEV41" s="18"/>
      <c r="HEW41" s="12"/>
      <c r="HEX41" s="19"/>
      <c r="HEY41" s="16"/>
      <c r="HEZ41" s="18"/>
      <c r="HFA41" s="13"/>
      <c r="HFB41" s="12"/>
      <c r="HFC41" s="18"/>
      <c r="HFD41" s="12"/>
      <c r="HFE41" s="19"/>
      <c r="HFF41" s="16"/>
      <c r="HFG41" s="18"/>
      <c r="HFH41" s="13"/>
      <c r="HFI41" s="12"/>
      <c r="HFJ41" s="18"/>
      <c r="HFK41" s="12"/>
      <c r="HFL41" s="19"/>
      <c r="HFM41" s="16"/>
      <c r="HFN41" s="18"/>
      <c r="HFO41" s="13"/>
      <c r="HFP41" s="12"/>
      <c r="HFQ41" s="18"/>
      <c r="HFR41" s="12"/>
      <c r="HFS41" s="19"/>
      <c r="HFT41" s="16"/>
      <c r="HFU41" s="18"/>
      <c r="HFV41" s="13"/>
      <c r="HFW41" s="12"/>
      <c r="HFX41" s="18"/>
      <c r="HFY41" s="12"/>
      <c r="HFZ41" s="19"/>
      <c r="HGA41" s="16"/>
      <c r="HGB41" s="18"/>
      <c r="HGC41" s="13"/>
      <c r="HGD41" s="12"/>
      <c r="HGE41" s="18"/>
      <c r="HGF41" s="12"/>
      <c r="HGG41" s="19"/>
      <c r="HGH41" s="16"/>
      <c r="HGI41" s="18"/>
      <c r="HGJ41" s="13"/>
      <c r="HGK41" s="12"/>
      <c r="HGL41" s="18"/>
      <c r="HGM41" s="12"/>
      <c r="HGN41" s="19"/>
      <c r="HGO41" s="16"/>
      <c r="HGP41" s="18"/>
      <c r="HGQ41" s="13"/>
      <c r="HGR41" s="12"/>
      <c r="HGS41" s="18"/>
      <c r="HGT41" s="12"/>
      <c r="HGU41" s="19"/>
      <c r="HGV41" s="16"/>
      <c r="HGW41" s="18"/>
      <c r="HGX41" s="13"/>
      <c r="HGY41" s="12"/>
      <c r="HGZ41" s="18"/>
      <c r="HHA41" s="12"/>
      <c r="HHB41" s="19"/>
      <c r="HHC41" s="16"/>
      <c r="HHD41" s="18"/>
      <c r="HHE41" s="13"/>
      <c r="HHF41" s="12"/>
      <c r="HHG41" s="18"/>
      <c r="HHH41" s="12"/>
      <c r="HHI41" s="19"/>
      <c r="HHJ41" s="16"/>
      <c r="HHK41" s="18"/>
      <c r="HHL41" s="13"/>
      <c r="HHM41" s="12"/>
      <c r="HHN41" s="18"/>
      <c r="HHO41" s="12"/>
      <c r="HHP41" s="19"/>
      <c r="HHQ41" s="16"/>
      <c r="HHR41" s="18"/>
      <c r="HHS41" s="13"/>
      <c r="HHT41" s="12"/>
      <c r="HHU41" s="18"/>
      <c r="HHV41" s="12"/>
      <c r="HHW41" s="19"/>
      <c r="HHX41" s="16"/>
      <c r="HHY41" s="18"/>
      <c r="HHZ41" s="13"/>
      <c r="HIA41" s="12"/>
      <c r="HIB41" s="18"/>
      <c r="HIC41" s="12"/>
      <c r="HID41" s="19"/>
      <c r="HIE41" s="16"/>
      <c r="HIF41" s="18"/>
      <c r="HIG41" s="13"/>
      <c r="HIH41" s="12"/>
      <c r="HII41" s="18"/>
      <c r="HIJ41" s="12"/>
      <c r="HIK41" s="19"/>
      <c r="HIL41" s="16"/>
      <c r="HIM41" s="18"/>
      <c r="HIN41" s="13"/>
      <c r="HIO41" s="12"/>
      <c r="HIP41" s="18"/>
      <c r="HIQ41" s="12"/>
      <c r="HIR41" s="19"/>
      <c r="HIS41" s="16"/>
      <c r="HIT41" s="18"/>
      <c r="HIU41" s="13"/>
      <c r="HIV41" s="12"/>
      <c r="HIW41" s="18"/>
      <c r="HIX41" s="12"/>
      <c r="HIY41" s="19"/>
      <c r="HIZ41" s="16"/>
      <c r="HJA41" s="18"/>
      <c r="HJB41" s="13"/>
      <c r="HJC41" s="12"/>
      <c r="HJD41" s="18"/>
      <c r="HJE41" s="12"/>
      <c r="HJF41" s="19"/>
      <c r="HJG41" s="16"/>
      <c r="HJH41" s="18"/>
      <c r="HJI41" s="13"/>
      <c r="HJJ41" s="12"/>
      <c r="HJK41" s="18"/>
      <c r="HJL41" s="12"/>
      <c r="HJM41" s="19"/>
      <c r="HJN41" s="16"/>
      <c r="HJO41" s="18"/>
      <c r="HJP41" s="13"/>
      <c r="HJQ41" s="12"/>
      <c r="HJR41" s="18"/>
      <c r="HJS41" s="12"/>
      <c r="HJT41" s="19"/>
      <c r="HJU41" s="16"/>
      <c r="HJV41" s="18"/>
      <c r="HJW41" s="13"/>
      <c r="HJX41" s="12"/>
      <c r="HJY41" s="18"/>
      <c r="HJZ41" s="12"/>
      <c r="HKA41" s="19"/>
      <c r="HKB41" s="16"/>
      <c r="HKC41" s="18"/>
      <c r="HKD41" s="13"/>
      <c r="HKE41" s="12"/>
      <c r="HKF41" s="18"/>
      <c r="HKG41" s="12"/>
      <c r="HKH41" s="19"/>
      <c r="HKI41" s="16"/>
      <c r="HKJ41" s="18"/>
      <c r="HKK41" s="13"/>
      <c r="HKL41" s="12"/>
      <c r="HKM41" s="18"/>
      <c r="HKN41" s="12"/>
      <c r="HKO41" s="19"/>
      <c r="HKP41" s="16"/>
      <c r="HKQ41" s="18"/>
      <c r="HKR41" s="13"/>
      <c r="HKS41" s="12"/>
      <c r="HKT41" s="18"/>
      <c r="HKU41" s="12"/>
      <c r="HKV41" s="19"/>
      <c r="HKW41" s="16"/>
      <c r="HKX41" s="18"/>
      <c r="HKY41" s="13"/>
      <c r="HKZ41" s="12"/>
      <c r="HLA41" s="18"/>
      <c r="HLB41" s="12"/>
      <c r="HLC41" s="19"/>
      <c r="HLD41" s="16"/>
      <c r="HLE41" s="18"/>
      <c r="HLF41" s="13"/>
      <c r="HLG41" s="12"/>
      <c r="HLH41" s="18"/>
      <c r="HLI41" s="12"/>
      <c r="HLJ41" s="19"/>
      <c r="HLK41" s="16"/>
      <c r="HLL41" s="18"/>
      <c r="HLM41" s="13"/>
      <c r="HLN41" s="12"/>
      <c r="HLO41" s="18"/>
      <c r="HLP41" s="12"/>
      <c r="HLQ41" s="19"/>
      <c r="HLR41" s="16"/>
      <c r="HLS41" s="18"/>
      <c r="HLT41" s="13"/>
      <c r="HLU41" s="12"/>
      <c r="HLV41" s="18"/>
      <c r="HLW41" s="12"/>
      <c r="HLX41" s="19"/>
      <c r="HLY41" s="16"/>
      <c r="HLZ41" s="18"/>
      <c r="HMA41" s="13"/>
      <c r="HMB41" s="12"/>
      <c r="HMC41" s="18"/>
      <c r="HMD41" s="12"/>
      <c r="HME41" s="19"/>
      <c r="HMF41" s="16"/>
      <c r="HMG41" s="18"/>
      <c r="HMH41" s="13"/>
      <c r="HMI41" s="12"/>
      <c r="HMJ41" s="18"/>
      <c r="HMK41" s="12"/>
      <c r="HML41" s="19"/>
      <c r="HMM41" s="16"/>
      <c r="HMN41" s="18"/>
      <c r="HMO41" s="13"/>
      <c r="HMP41" s="12"/>
      <c r="HMQ41" s="18"/>
      <c r="HMR41" s="12"/>
      <c r="HMS41" s="19"/>
      <c r="HMT41" s="16"/>
      <c r="HMU41" s="18"/>
      <c r="HMV41" s="13"/>
      <c r="HMW41" s="12"/>
      <c r="HMX41" s="18"/>
      <c r="HMY41" s="12"/>
      <c r="HMZ41" s="19"/>
      <c r="HNA41" s="16"/>
      <c r="HNB41" s="18"/>
      <c r="HNC41" s="13"/>
      <c r="HND41" s="12"/>
      <c r="HNE41" s="18"/>
      <c r="HNF41" s="12"/>
      <c r="HNG41" s="19"/>
      <c r="HNH41" s="16"/>
      <c r="HNI41" s="18"/>
      <c r="HNJ41" s="13"/>
      <c r="HNK41" s="12"/>
      <c r="HNL41" s="18"/>
      <c r="HNM41" s="12"/>
      <c r="HNN41" s="19"/>
      <c r="HNO41" s="16"/>
      <c r="HNP41" s="18"/>
      <c r="HNQ41" s="13"/>
      <c r="HNR41" s="12"/>
      <c r="HNS41" s="18"/>
      <c r="HNT41" s="12"/>
      <c r="HNU41" s="19"/>
      <c r="HNV41" s="16"/>
      <c r="HNW41" s="18"/>
      <c r="HNX41" s="13"/>
      <c r="HNY41" s="12"/>
      <c r="HNZ41" s="18"/>
      <c r="HOA41" s="12"/>
      <c r="HOB41" s="19"/>
      <c r="HOC41" s="16"/>
      <c r="HOD41" s="18"/>
      <c r="HOE41" s="13"/>
      <c r="HOF41" s="12"/>
      <c r="HOG41" s="18"/>
      <c r="HOH41" s="12"/>
      <c r="HOI41" s="19"/>
      <c r="HOJ41" s="16"/>
      <c r="HOK41" s="18"/>
      <c r="HOL41" s="13"/>
      <c r="HOM41" s="12"/>
      <c r="HON41" s="18"/>
      <c r="HOO41" s="12"/>
      <c r="HOP41" s="19"/>
      <c r="HOQ41" s="16"/>
      <c r="HOR41" s="18"/>
      <c r="HOS41" s="13"/>
      <c r="HOT41" s="12"/>
      <c r="HOU41" s="18"/>
      <c r="HOV41" s="12"/>
      <c r="HOW41" s="19"/>
      <c r="HOX41" s="16"/>
      <c r="HOY41" s="18"/>
      <c r="HOZ41" s="13"/>
      <c r="HPA41" s="12"/>
      <c r="HPB41" s="18"/>
      <c r="HPC41" s="12"/>
      <c r="HPD41" s="19"/>
      <c r="HPE41" s="16"/>
      <c r="HPF41" s="18"/>
      <c r="HPG41" s="13"/>
      <c r="HPH41" s="12"/>
      <c r="HPI41" s="18"/>
      <c r="HPJ41" s="12"/>
      <c r="HPK41" s="19"/>
      <c r="HPL41" s="16"/>
      <c r="HPM41" s="18"/>
      <c r="HPN41" s="13"/>
      <c r="HPO41" s="12"/>
      <c r="HPP41" s="18"/>
      <c r="HPQ41" s="12"/>
      <c r="HPR41" s="19"/>
      <c r="HPS41" s="16"/>
      <c r="HPT41" s="18"/>
      <c r="HPU41" s="13"/>
      <c r="HPV41" s="12"/>
      <c r="HPW41" s="18"/>
      <c r="HPX41" s="12"/>
      <c r="HPY41" s="19"/>
      <c r="HPZ41" s="16"/>
      <c r="HQA41" s="18"/>
      <c r="HQB41" s="13"/>
      <c r="HQC41" s="12"/>
      <c r="HQD41" s="18"/>
      <c r="HQE41" s="12"/>
      <c r="HQF41" s="19"/>
      <c r="HQG41" s="16"/>
      <c r="HQH41" s="18"/>
      <c r="HQI41" s="13"/>
      <c r="HQJ41" s="12"/>
      <c r="HQK41" s="18"/>
      <c r="HQL41" s="12"/>
      <c r="HQM41" s="19"/>
      <c r="HQN41" s="16"/>
      <c r="HQO41" s="18"/>
      <c r="HQP41" s="13"/>
      <c r="HQQ41" s="12"/>
      <c r="HQR41" s="18"/>
      <c r="HQS41" s="12"/>
      <c r="HQT41" s="19"/>
      <c r="HQU41" s="16"/>
      <c r="HQV41" s="18"/>
      <c r="HQW41" s="13"/>
      <c r="HQX41" s="12"/>
      <c r="HQY41" s="18"/>
      <c r="HQZ41" s="12"/>
      <c r="HRA41" s="19"/>
      <c r="HRB41" s="16"/>
      <c r="HRC41" s="18"/>
      <c r="HRD41" s="13"/>
      <c r="HRE41" s="12"/>
      <c r="HRF41" s="18"/>
      <c r="HRG41" s="12"/>
      <c r="HRH41" s="19"/>
      <c r="HRI41" s="16"/>
      <c r="HRJ41" s="18"/>
      <c r="HRK41" s="13"/>
      <c r="HRL41" s="12"/>
      <c r="HRM41" s="18"/>
      <c r="HRN41" s="12"/>
      <c r="HRO41" s="19"/>
      <c r="HRP41" s="16"/>
      <c r="HRQ41" s="18"/>
      <c r="HRR41" s="13"/>
      <c r="HRS41" s="12"/>
      <c r="HRT41" s="18"/>
      <c r="HRU41" s="12"/>
      <c r="HRV41" s="19"/>
      <c r="HRW41" s="16"/>
      <c r="HRX41" s="18"/>
      <c r="HRY41" s="13"/>
      <c r="HRZ41" s="12"/>
      <c r="HSA41" s="18"/>
      <c r="HSB41" s="12"/>
      <c r="HSC41" s="19"/>
      <c r="HSD41" s="16"/>
      <c r="HSE41" s="18"/>
      <c r="HSF41" s="13"/>
      <c r="HSG41" s="12"/>
      <c r="HSH41" s="18"/>
      <c r="HSI41" s="12"/>
      <c r="HSJ41" s="19"/>
      <c r="HSK41" s="16"/>
      <c r="HSL41" s="18"/>
      <c r="HSM41" s="13"/>
      <c r="HSN41" s="12"/>
      <c r="HSO41" s="18"/>
      <c r="HSP41" s="12"/>
      <c r="HSQ41" s="19"/>
      <c r="HSR41" s="16"/>
      <c r="HSS41" s="18"/>
      <c r="HST41" s="13"/>
      <c r="HSU41" s="12"/>
      <c r="HSV41" s="18"/>
      <c r="HSW41" s="12"/>
      <c r="HSX41" s="19"/>
      <c r="HSY41" s="16"/>
      <c r="HSZ41" s="18"/>
      <c r="HTA41" s="13"/>
      <c r="HTB41" s="12"/>
      <c r="HTC41" s="18"/>
      <c r="HTD41" s="12"/>
      <c r="HTE41" s="19"/>
      <c r="HTF41" s="16"/>
      <c r="HTG41" s="18"/>
      <c r="HTH41" s="13"/>
      <c r="HTI41" s="12"/>
      <c r="HTJ41" s="18"/>
      <c r="HTK41" s="12"/>
      <c r="HTL41" s="19"/>
      <c r="HTM41" s="16"/>
      <c r="HTN41" s="18"/>
      <c r="HTO41" s="13"/>
      <c r="HTP41" s="12"/>
      <c r="HTQ41" s="18"/>
      <c r="HTR41" s="12"/>
      <c r="HTS41" s="19"/>
      <c r="HTT41" s="16"/>
      <c r="HTU41" s="18"/>
      <c r="HTV41" s="13"/>
      <c r="HTW41" s="12"/>
      <c r="HTX41" s="18"/>
      <c r="HTY41" s="12"/>
      <c r="HTZ41" s="19"/>
      <c r="HUA41" s="16"/>
      <c r="HUB41" s="18"/>
      <c r="HUC41" s="13"/>
      <c r="HUD41" s="12"/>
      <c r="HUE41" s="18"/>
      <c r="HUF41" s="12"/>
      <c r="HUG41" s="19"/>
      <c r="HUH41" s="16"/>
      <c r="HUI41" s="18"/>
      <c r="HUJ41" s="13"/>
      <c r="HUK41" s="12"/>
      <c r="HUL41" s="18"/>
      <c r="HUM41" s="12"/>
      <c r="HUN41" s="19"/>
      <c r="HUO41" s="16"/>
      <c r="HUP41" s="18"/>
      <c r="HUQ41" s="13"/>
      <c r="HUR41" s="12"/>
      <c r="HUS41" s="18"/>
      <c r="HUT41" s="12"/>
      <c r="HUU41" s="19"/>
      <c r="HUV41" s="16"/>
      <c r="HUW41" s="18"/>
      <c r="HUX41" s="13"/>
      <c r="HUY41" s="12"/>
      <c r="HUZ41" s="18"/>
      <c r="HVA41" s="12"/>
      <c r="HVB41" s="19"/>
      <c r="HVC41" s="16"/>
      <c r="HVD41" s="18"/>
      <c r="HVE41" s="13"/>
      <c r="HVF41" s="12"/>
      <c r="HVG41" s="18"/>
      <c r="HVH41" s="12"/>
      <c r="HVI41" s="19"/>
      <c r="HVJ41" s="16"/>
      <c r="HVK41" s="18"/>
      <c r="HVL41" s="13"/>
      <c r="HVM41" s="12"/>
      <c r="HVN41" s="18"/>
      <c r="HVO41" s="12"/>
      <c r="HVP41" s="19"/>
      <c r="HVQ41" s="16"/>
      <c r="HVR41" s="18"/>
      <c r="HVS41" s="13"/>
      <c r="HVT41" s="12"/>
      <c r="HVU41" s="18"/>
      <c r="HVV41" s="12"/>
      <c r="HVW41" s="19"/>
      <c r="HVX41" s="16"/>
      <c r="HVY41" s="18"/>
      <c r="HVZ41" s="13"/>
      <c r="HWA41" s="12"/>
      <c r="HWB41" s="18"/>
      <c r="HWC41" s="12"/>
      <c r="HWD41" s="19"/>
      <c r="HWE41" s="16"/>
      <c r="HWF41" s="18"/>
      <c r="HWG41" s="13"/>
      <c r="HWH41" s="12"/>
      <c r="HWI41" s="18"/>
      <c r="HWJ41" s="12"/>
      <c r="HWK41" s="19"/>
      <c r="HWL41" s="16"/>
      <c r="HWM41" s="18"/>
      <c r="HWN41" s="13"/>
      <c r="HWO41" s="12"/>
      <c r="HWP41" s="18"/>
      <c r="HWQ41" s="12"/>
      <c r="HWR41" s="19"/>
      <c r="HWS41" s="16"/>
      <c r="HWT41" s="18"/>
      <c r="HWU41" s="13"/>
      <c r="HWV41" s="12"/>
      <c r="HWW41" s="18"/>
      <c r="HWX41" s="12"/>
      <c r="HWY41" s="19"/>
      <c r="HWZ41" s="16"/>
      <c r="HXA41" s="18"/>
      <c r="HXB41" s="13"/>
      <c r="HXC41" s="12"/>
      <c r="HXD41" s="18"/>
      <c r="HXE41" s="12"/>
      <c r="HXF41" s="19"/>
      <c r="HXG41" s="16"/>
      <c r="HXH41" s="18"/>
      <c r="HXI41" s="13"/>
      <c r="HXJ41" s="12"/>
      <c r="HXK41" s="18"/>
      <c r="HXL41" s="12"/>
      <c r="HXM41" s="19"/>
      <c r="HXN41" s="16"/>
      <c r="HXO41" s="18"/>
      <c r="HXP41" s="13"/>
      <c r="HXQ41" s="12"/>
      <c r="HXR41" s="18"/>
      <c r="HXS41" s="12"/>
      <c r="HXT41" s="19"/>
      <c r="HXU41" s="16"/>
      <c r="HXV41" s="18"/>
      <c r="HXW41" s="13"/>
      <c r="HXX41" s="12"/>
      <c r="HXY41" s="18"/>
      <c r="HXZ41" s="12"/>
      <c r="HYA41" s="19"/>
      <c r="HYB41" s="16"/>
      <c r="HYC41" s="18"/>
      <c r="HYD41" s="13"/>
      <c r="HYE41" s="12"/>
      <c r="HYF41" s="18"/>
      <c r="HYG41" s="12"/>
      <c r="HYH41" s="19"/>
      <c r="HYI41" s="16"/>
      <c r="HYJ41" s="18"/>
      <c r="HYK41" s="13"/>
      <c r="HYL41" s="12"/>
      <c r="HYM41" s="18"/>
      <c r="HYN41" s="12"/>
      <c r="HYO41" s="19"/>
      <c r="HYP41" s="16"/>
      <c r="HYQ41" s="18"/>
      <c r="HYR41" s="13"/>
      <c r="HYS41" s="12"/>
      <c r="HYT41" s="18"/>
      <c r="HYU41" s="12"/>
      <c r="HYV41" s="19"/>
      <c r="HYW41" s="16"/>
      <c r="HYX41" s="18"/>
      <c r="HYY41" s="13"/>
      <c r="HYZ41" s="12"/>
      <c r="HZA41" s="18"/>
      <c r="HZB41" s="12"/>
      <c r="HZC41" s="19"/>
      <c r="HZD41" s="16"/>
      <c r="HZE41" s="18"/>
      <c r="HZF41" s="13"/>
      <c r="HZG41" s="12"/>
      <c r="HZH41" s="18"/>
      <c r="HZI41" s="12"/>
      <c r="HZJ41" s="19"/>
      <c r="HZK41" s="16"/>
      <c r="HZL41" s="18"/>
      <c r="HZM41" s="13"/>
      <c r="HZN41" s="12"/>
      <c r="HZO41" s="18"/>
      <c r="HZP41" s="12"/>
      <c r="HZQ41" s="19"/>
      <c r="HZR41" s="16"/>
      <c r="HZS41" s="18"/>
      <c r="HZT41" s="13"/>
      <c r="HZU41" s="12"/>
      <c r="HZV41" s="18"/>
      <c r="HZW41" s="12"/>
      <c r="HZX41" s="19"/>
      <c r="HZY41" s="16"/>
      <c r="HZZ41" s="18"/>
      <c r="IAA41" s="13"/>
      <c r="IAB41" s="12"/>
      <c r="IAC41" s="18"/>
      <c r="IAD41" s="12"/>
      <c r="IAE41" s="19"/>
      <c r="IAF41" s="16"/>
      <c r="IAG41" s="18"/>
      <c r="IAH41" s="13"/>
      <c r="IAI41" s="12"/>
      <c r="IAJ41" s="18"/>
      <c r="IAK41" s="12"/>
      <c r="IAL41" s="19"/>
      <c r="IAM41" s="16"/>
      <c r="IAN41" s="18"/>
      <c r="IAO41" s="13"/>
      <c r="IAP41" s="12"/>
      <c r="IAQ41" s="18"/>
      <c r="IAR41" s="12"/>
      <c r="IAS41" s="19"/>
      <c r="IAT41" s="16"/>
      <c r="IAU41" s="18"/>
      <c r="IAV41" s="13"/>
      <c r="IAW41" s="12"/>
      <c r="IAX41" s="18"/>
      <c r="IAY41" s="12"/>
      <c r="IAZ41" s="19"/>
      <c r="IBA41" s="16"/>
      <c r="IBB41" s="18"/>
      <c r="IBC41" s="13"/>
      <c r="IBD41" s="12"/>
      <c r="IBE41" s="18"/>
      <c r="IBF41" s="12"/>
      <c r="IBG41" s="19"/>
      <c r="IBH41" s="16"/>
      <c r="IBI41" s="18"/>
      <c r="IBJ41" s="13"/>
      <c r="IBK41" s="12"/>
      <c r="IBL41" s="18"/>
      <c r="IBM41" s="12"/>
      <c r="IBN41" s="19"/>
      <c r="IBO41" s="16"/>
      <c r="IBP41" s="18"/>
      <c r="IBQ41" s="13"/>
      <c r="IBR41" s="12"/>
      <c r="IBS41" s="18"/>
      <c r="IBT41" s="12"/>
      <c r="IBU41" s="19"/>
      <c r="IBV41" s="16"/>
      <c r="IBW41" s="18"/>
      <c r="IBX41" s="13"/>
      <c r="IBY41" s="12"/>
      <c r="IBZ41" s="18"/>
      <c r="ICA41" s="12"/>
      <c r="ICB41" s="19"/>
      <c r="ICC41" s="16"/>
      <c r="ICD41" s="18"/>
      <c r="ICE41" s="13"/>
      <c r="ICF41" s="12"/>
      <c r="ICG41" s="18"/>
      <c r="ICH41" s="12"/>
      <c r="ICI41" s="19"/>
      <c r="ICJ41" s="16"/>
      <c r="ICK41" s="18"/>
      <c r="ICL41" s="13"/>
      <c r="ICM41" s="12"/>
      <c r="ICN41" s="18"/>
      <c r="ICO41" s="12"/>
      <c r="ICP41" s="19"/>
      <c r="ICQ41" s="16"/>
      <c r="ICR41" s="18"/>
      <c r="ICS41" s="13"/>
      <c r="ICT41" s="12"/>
      <c r="ICU41" s="18"/>
      <c r="ICV41" s="12"/>
      <c r="ICW41" s="19"/>
      <c r="ICX41" s="16"/>
      <c r="ICY41" s="18"/>
      <c r="ICZ41" s="13"/>
      <c r="IDA41" s="12"/>
      <c r="IDB41" s="18"/>
      <c r="IDC41" s="12"/>
      <c r="IDD41" s="19"/>
      <c r="IDE41" s="16"/>
      <c r="IDF41" s="18"/>
      <c r="IDG41" s="13"/>
      <c r="IDH41" s="12"/>
      <c r="IDI41" s="18"/>
      <c r="IDJ41" s="12"/>
      <c r="IDK41" s="19"/>
      <c r="IDL41" s="16"/>
      <c r="IDM41" s="18"/>
      <c r="IDN41" s="13"/>
      <c r="IDO41" s="12"/>
      <c r="IDP41" s="18"/>
      <c r="IDQ41" s="12"/>
      <c r="IDR41" s="19"/>
      <c r="IDS41" s="16"/>
      <c r="IDT41" s="18"/>
      <c r="IDU41" s="13"/>
      <c r="IDV41" s="12"/>
      <c r="IDW41" s="18"/>
      <c r="IDX41" s="12"/>
      <c r="IDY41" s="19"/>
      <c r="IDZ41" s="16"/>
      <c r="IEA41" s="18"/>
      <c r="IEB41" s="13"/>
      <c r="IEC41" s="12"/>
      <c r="IED41" s="18"/>
      <c r="IEE41" s="12"/>
      <c r="IEF41" s="19"/>
      <c r="IEG41" s="16"/>
      <c r="IEH41" s="18"/>
      <c r="IEI41" s="13"/>
      <c r="IEJ41" s="12"/>
      <c r="IEK41" s="18"/>
      <c r="IEL41" s="12"/>
      <c r="IEM41" s="19"/>
      <c r="IEN41" s="16"/>
      <c r="IEO41" s="18"/>
      <c r="IEP41" s="13"/>
      <c r="IEQ41" s="12"/>
      <c r="IER41" s="18"/>
      <c r="IES41" s="12"/>
      <c r="IET41" s="19"/>
      <c r="IEU41" s="16"/>
      <c r="IEV41" s="18"/>
      <c r="IEW41" s="13"/>
      <c r="IEX41" s="12"/>
      <c r="IEY41" s="18"/>
      <c r="IEZ41" s="12"/>
      <c r="IFA41" s="19"/>
      <c r="IFB41" s="16"/>
      <c r="IFC41" s="18"/>
      <c r="IFD41" s="13"/>
      <c r="IFE41" s="12"/>
      <c r="IFF41" s="18"/>
      <c r="IFG41" s="12"/>
      <c r="IFH41" s="19"/>
      <c r="IFI41" s="16"/>
      <c r="IFJ41" s="18"/>
      <c r="IFK41" s="13"/>
      <c r="IFL41" s="12"/>
      <c r="IFM41" s="18"/>
      <c r="IFN41" s="12"/>
      <c r="IFO41" s="19"/>
      <c r="IFP41" s="16"/>
      <c r="IFQ41" s="18"/>
      <c r="IFR41" s="13"/>
      <c r="IFS41" s="12"/>
      <c r="IFT41" s="18"/>
      <c r="IFU41" s="12"/>
      <c r="IFV41" s="19"/>
      <c r="IFW41" s="16"/>
      <c r="IFX41" s="18"/>
      <c r="IFY41" s="13"/>
      <c r="IFZ41" s="12"/>
      <c r="IGA41" s="18"/>
      <c r="IGB41" s="12"/>
      <c r="IGC41" s="19"/>
      <c r="IGD41" s="16"/>
      <c r="IGE41" s="18"/>
      <c r="IGF41" s="13"/>
      <c r="IGG41" s="12"/>
      <c r="IGH41" s="18"/>
      <c r="IGI41" s="12"/>
      <c r="IGJ41" s="19"/>
      <c r="IGK41" s="16"/>
      <c r="IGL41" s="18"/>
      <c r="IGM41" s="13"/>
      <c r="IGN41" s="12"/>
      <c r="IGO41" s="18"/>
      <c r="IGP41" s="12"/>
      <c r="IGQ41" s="19"/>
      <c r="IGR41" s="16"/>
      <c r="IGS41" s="18"/>
      <c r="IGT41" s="13"/>
      <c r="IGU41" s="12"/>
      <c r="IGV41" s="18"/>
      <c r="IGW41" s="12"/>
      <c r="IGX41" s="19"/>
      <c r="IGY41" s="16"/>
      <c r="IGZ41" s="18"/>
      <c r="IHA41" s="13"/>
      <c r="IHB41" s="12"/>
      <c r="IHC41" s="18"/>
      <c r="IHD41" s="12"/>
      <c r="IHE41" s="19"/>
      <c r="IHF41" s="16"/>
      <c r="IHG41" s="18"/>
      <c r="IHH41" s="13"/>
      <c r="IHI41" s="12"/>
      <c r="IHJ41" s="18"/>
      <c r="IHK41" s="12"/>
      <c r="IHL41" s="19"/>
      <c r="IHM41" s="16"/>
      <c r="IHN41" s="18"/>
      <c r="IHO41" s="13"/>
      <c r="IHP41" s="12"/>
      <c r="IHQ41" s="18"/>
      <c r="IHR41" s="12"/>
      <c r="IHS41" s="19"/>
      <c r="IHT41" s="16"/>
      <c r="IHU41" s="18"/>
      <c r="IHV41" s="13"/>
      <c r="IHW41" s="12"/>
      <c r="IHX41" s="18"/>
      <c r="IHY41" s="12"/>
      <c r="IHZ41" s="19"/>
      <c r="IIA41" s="16"/>
      <c r="IIB41" s="18"/>
      <c r="IIC41" s="13"/>
      <c r="IID41" s="12"/>
      <c r="IIE41" s="18"/>
      <c r="IIF41" s="12"/>
      <c r="IIG41" s="19"/>
      <c r="IIH41" s="16"/>
      <c r="III41" s="18"/>
      <c r="IIJ41" s="13"/>
      <c r="IIK41" s="12"/>
      <c r="IIL41" s="18"/>
      <c r="IIM41" s="12"/>
      <c r="IIN41" s="19"/>
      <c r="IIO41" s="16"/>
      <c r="IIP41" s="18"/>
      <c r="IIQ41" s="13"/>
      <c r="IIR41" s="12"/>
      <c r="IIS41" s="18"/>
      <c r="IIT41" s="12"/>
      <c r="IIU41" s="19"/>
      <c r="IIV41" s="16"/>
      <c r="IIW41" s="18"/>
      <c r="IIX41" s="13"/>
      <c r="IIY41" s="12"/>
      <c r="IIZ41" s="18"/>
      <c r="IJA41" s="12"/>
      <c r="IJB41" s="19"/>
      <c r="IJC41" s="16"/>
      <c r="IJD41" s="18"/>
      <c r="IJE41" s="13"/>
      <c r="IJF41" s="12"/>
      <c r="IJG41" s="18"/>
      <c r="IJH41" s="12"/>
      <c r="IJI41" s="19"/>
      <c r="IJJ41" s="16"/>
      <c r="IJK41" s="18"/>
      <c r="IJL41" s="13"/>
      <c r="IJM41" s="12"/>
      <c r="IJN41" s="18"/>
      <c r="IJO41" s="12"/>
      <c r="IJP41" s="19"/>
      <c r="IJQ41" s="16"/>
      <c r="IJR41" s="18"/>
      <c r="IJS41" s="13"/>
      <c r="IJT41" s="12"/>
      <c r="IJU41" s="18"/>
      <c r="IJV41" s="12"/>
      <c r="IJW41" s="19"/>
      <c r="IJX41" s="16"/>
      <c r="IJY41" s="18"/>
      <c r="IJZ41" s="13"/>
      <c r="IKA41" s="12"/>
      <c r="IKB41" s="18"/>
      <c r="IKC41" s="12"/>
      <c r="IKD41" s="19"/>
      <c r="IKE41" s="16"/>
      <c r="IKF41" s="18"/>
      <c r="IKG41" s="13"/>
      <c r="IKH41" s="12"/>
      <c r="IKI41" s="18"/>
      <c r="IKJ41" s="12"/>
      <c r="IKK41" s="19"/>
      <c r="IKL41" s="16"/>
      <c r="IKM41" s="18"/>
      <c r="IKN41" s="13"/>
      <c r="IKO41" s="12"/>
      <c r="IKP41" s="18"/>
      <c r="IKQ41" s="12"/>
      <c r="IKR41" s="19"/>
      <c r="IKS41" s="16"/>
      <c r="IKT41" s="18"/>
      <c r="IKU41" s="13"/>
      <c r="IKV41" s="12"/>
      <c r="IKW41" s="18"/>
      <c r="IKX41" s="12"/>
      <c r="IKY41" s="19"/>
      <c r="IKZ41" s="16"/>
      <c r="ILA41" s="18"/>
      <c r="ILB41" s="13"/>
      <c r="ILC41" s="12"/>
      <c r="ILD41" s="18"/>
      <c r="ILE41" s="12"/>
      <c r="ILF41" s="19"/>
      <c r="ILG41" s="16"/>
      <c r="ILH41" s="18"/>
      <c r="ILI41" s="13"/>
      <c r="ILJ41" s="12"/>
      <c r="ILK41" s="18"/>
      <c r="ILL41" s="12"/>
      <c r="ILM41" s="19"/>
      <c r="ILN41" s="16"/>
      <c r="ILO41" s="18"/>
      <c r="ILP41" s="13"/>
      <c r="ILQ41" s="12"/>
      <c r="ILR41" s="18"/>
      <c r="ILS41" s="12"/>
      <c r="ILT41" s="19"/>
      <c r="ILU41" s="16"/>
      <c r="ILV41" s="18"/>
      <c r="ILW41" s="13"/>
      <c r="ILX41" s="12"/>
      <c r="ILY41" s="18"/>
      <c r="ILZ41" s="12"/>
      <c r="IMA41" s="19"/>
      <c r="IMB41" s="16"/>
      <c r="IMC41" s="18"/>
      <c r="IMD41" s="13"/>
      <c r="IME41" s="12"/>
      <c r="IMF41" s="18"/>
      <c r="IMG41" s="12"/>
      <c r="IMH41" s="19"/>
      <c r="IMI41" s="16"/>
      <c r="IMJ41" s="18"/>
      <c r="IMK41" s="13"/>
      <c r="IML41" s="12"/>
      <c r="IMM41" s="18"/>
      <c r="IMN41" s="12"/>
      <c r="IMO41" s="19"/>
      <c r="IMP41" s="16"/>
      <c r="IMQ41" s="18"/>
      <c r="IMR41" s="13"/>
      <c r="IMS41" s="12"/>
      <c r="IMT41" s="18"/>
      <c r="IMU41" s="12"/>
      <c r="IMV41" s="19"/>
      <c r="IMW41" s="16"/>
      <c r="IMX41" s="18"/>
      <c r="IMY41" s="13"/>
      <c r="IMZ41" s="12"/>
      <c r="INA41" s="18"/>
      <c r="INB41" s="12"/>
      <c r="INC41" s="19"/>
      <c r="IND41" s="16"/>
      <c r="INE41" s="18"/>
      <c r="INF41" s="13"/>
      <c r="ING41" s="12"/>
      <c r="INH41" s="18"/>
      <c r="INI41" s="12"/>
      <c r="INJ41" s="19"/>
      <c r="INK41" s="16"/>
      <c r="INL41" s="18"/>
      <c r="INM41" s="13"/>
      <c r="INN41" s="12"/>
      <c r="INO41" s="18"/>
      <c r="INP41" s="12"/>
      <c r="INQ41" s="19"/>
      <c r="INR41" s="16"/>
      <c r="INS41" s="18"/>
      <c r="INT41" s="13"/>
      <c r="INU41" s="12"/>
      <c r="INV41" s="18"/>
      <c r="INW41" s="12"/>
      <c r="INX41" s="19"/>
      <c r="INY41" s="16"/>
      <c r="INZ41" s="18"/>
      <c r="IOA41" s="13"/>
      <c r="IOB41" s="12"/>
      <c r="IOC41" s="18"/>
      <c r="IOD41" s="12"/>
      <c r="IOE41" s="19"/>
      <c r="IOF41" s="16"/>
      <c r="IOG41" s="18"/>
      <c r="IOH41" s="13"/>
      <c r="IOI41" s="12"/>
      <c r="IOJ41" s="18"/>
      <c r="IOK41" s="12"/>
      <c r="IOL41" s="19"/>
      <c r="IOM41" s="16"/>
      <c r="ION41" s="18"/>
      <c r="IOO41" s="13"/>
      <c r="IOP41" s="12"/>
      <c r="IOQ41" s="18"/>
      <c r="IOR41" s="12"/>
      <c r="IOS41" s="19"/>
      <c r="IOT41" s="16"/>
      <c r="IOU41" s="18"/>
      <c r="IOV41" s="13"/>
      <c r="IOW41" s="12"/>
      <c r="IOX41" s="18"/>
      <c r="IOY41" s="12"/>
      <c r="IOZ41" s="19"/>
      <c r="IPA41" s="16"/>
      <c r="IPB41" s="18"/>
      <c r="IPC41" s="13"/>
      <c r="IPD41" s="12"/>
      <c r="IPE41" s="18"/>
      <c r="IPF41" s="12"/>
      <c r="IPG41" s="19"/>
      <c r="IPH41" s="16"/>
      <c r="IPI41" s="18"/>
      <c r="IPJ41" s="13"/>
      <c r="IPK41" s="12"/>
      <c r="IPL41" s="18"/>
      <c r="IPM41" s="12"/>
      <c r="IPN41" s="19"/>
      <c r="IPO41" s="16"/>
      <c r="IPP41" s="18"/>
      <c r="IPQ41" s="13"/>
      <c r="IPR41" s="12"/>
      <c r="IPS41" s="18"/>
      <c r="IPT41" s="12"/>
      <c r="IPU41" s="19"/>
      <c r="IPV41" s="16"/>
      <c r="IPW41" s="18"/>
      <c r="IPX41" s="13"/>
      <c r="IPY41" s="12"/>
      <c r="IPZ41" s="18"/>
      <c r="IQA41" s="12"/>
      <c r="IQB41" s="19"/>
      <c r="IQC41" s="16"/>
      <c r="IQD41" s="18"/>
      <c r="IQE41" s="13"/>
      <c r="IQF41" s="12"/>
      <c r="IQG41" s="18"/>
      <c r="IQH41" s="12"/>
      <c r="IQI41" s="19"/>
      <c r="IQJ41" s="16"/>
      <c r="IQK41" s="18"/>
      <c r="IQL41" s="13"/>
      <c r="IQM41" s="12"/>
      <c r="IQN41" s="18"/>
      <c r="IQO41" s="12"/>
      <c r="IQP41" s="19"/>
      <c r="IQQ41" s="16"/>
      <c r="IQR41" s="18"/>
      <c r="IQS41" s="13"/>
      <c r="IQT41" s="12"/>
      <c r="IQU41" s="18"/>
      <c r="IQV41" s="12"/>
      <c r="IQW41" s="19"/>
      <c r="IQX41" s="16"/>
      <c r="IQY41" s="18"/>
      <c r="IQZ41" s="13"/>
      <c r="IRA41" s="12"/>
      <c r="IRB41" s="18"/>
      <c r="IRC41" s="12"/>
      <c r="IRD41" s="19"/>
      <c r="IRE41" s="16"/>
      <c r="IRF41" s="18"/>
      <c r="IRG41" s="13"/>
      <c r="IRH41" s="12"/>
      <c r="IRI41" s="18"/>
      <c r="IRJ41" s="12"/>
      <c r="IRK41" s="19"/>
      <c r="IRL41" s="16"/>
      <c r="IRM41" s="18"/>
      <c r="IRN41" s="13"/>
      <c r="IRO41" s="12"/>
      <c r="IRP41" s="18"/>
      <c r="IRQ41" s="12"/>
      <c r="IRR41" s="19"/>
      <c r="IRS41" s="16"/>
      <c r="IRT41" s="18"/>
      <c r="IRU41" s="13"/>
      <c r="IRV41" s="12"/>
      <c r="IRW41" s="18"/>
      <c r="IRX41" s="12"/>
      <c r="IRY41" s="19"/>
      <c r="IRZ41" s="16"/>
      <c r="ISA41" s="18"/>
      <c r="ISB41" s="13"/>
      <c r="ISC41" s="12"/>
      <c r="ISD41" s="18"/>
      <c r="ISE41" s="12"/>
      <c r="ISF41" s="19"/>
      <c r="ISG41" s="16"/>
      <c r="ISH41" s="18"/>
      <c r="ISI41" s="13"/>
      <c r="ISJ41" s="12"/>
      <c r="ISK41" s="18"/>
      <c r="ISL41" s="12"/>
      <c r="ISM41" s="19"/>
      <c r="ISN41" s="16"/>
      <c r="ISO41" s="18"/>
      <c r="ISP41" s="13"/>
      <c r="ISQ41" s="12"/>
      <c r="ISR41" s="18"/>
      <c r="ISS41" s="12"/>
      <c r="IST41" s="19"/>
      <c r="ISU41" s="16"/>
      <c r="ISV41" s="18"/>
      <c r="ISW41" s="13"/>
      <c r="ISX41" s="12"/>
      <c r="ISY41" s="18"/>
      <c r="ISZ41" s="12"/>
      <c r="ITA41" s="19"/>
      <c r="ITB41" s="16"/>
      <c r="ITC41" s="18"/>
      <c r="ITD41" s="13"/>
      <c r="ITE41" s="12"/>
      <c r="ITF41" s="18"/>
      <c r="ITG41" s="12"/>
      <c r="ITH41" s="19"/>
      <c r="ITI41" s="16"/>
      <c r="ITJ41" s="18"/>
      <c r="ITK41" s="13"/>
      <c r="ITL41" s="12"/>
      <c r="ITM41" s="18"/>
      <c r="ITN41" s="12"/>
      <c r="ITO41" s="19"/>
      <c r="ITP41" s="16"/>
      <c r="ITQ41" s="18"/>
      <c r="ITR41" s="13"/>
      <c r="ITS41" s="12"/>
      <c r="ITT41" s="18"/>
      <c r="ITU41" s="12"/>
      <c r="ITV41" s="19"/>
      <c r="ITW41" s="16"/>
      <c r="ITX41" s="18"/>
      <c r="ITY41" s="13"/>
      <c r="ITZ41" s="12"/>
      <c r="IUA41" s="18"/>
      <c r="IUB41" s="12"/>
      <c r="IUC41" s="19"/>
      <c r="IUD41" s="16"/>
      <c r="IUE41" s="18"/>
      <c r="IUF41" s="13"/>
      <c r="IUG41" s="12"/>
      <c r="IUH41" s="18"/>
      <c r="IUI41" s="12"/>
      <c r="IUJ41" s="19"/>
      <c r="IUK41" s="16"/>
      <c r="IUL41" s="18"/>
      <c r="IUM41" s="13"/>
      <c r="IUN41" s="12"/>
      <c r="IUO41" s="18"/>
      <c r="IUP41" s="12"/>
      <c r="IUQ41" s="19"/>
      <c r="IUR41" s="16"/>
      <c r="IUS41" s="18"/>
      <c r="IUT41" s="13"/>
      <c r="IUU41" s="12"/>
      <c r="IUV41" s="18"/>
      <c r="IUW41" s="12"/>
      <c r="IUX41" s="19"/>
      <c r="IUY41" s="16"/>
      <c r="IUZ41" s="18"/>
      <c r="IVA41" s="13"/>
      <c r="IVB41" s="12"/>
      <c r="IVC41" s="18"/>
      <c r="IVD41" s="12"/>
      <c r="IVE41" s="19"/>
      <c r="IVF41" s="16"/>
      <c r="IVG41" s="18"/>
      <c r="IVH41" s="13"/>
      <c r="IVI41" s="12"/>
      <c r="IVJ41" s="18"/>
      <c r="IVK41" s="12"/>
      <c r="IVL41" s="19"/>
      <c r="IVM41" s="16"/>
      <c r="IVN41" s="18"/>
      <c r="IVO41" s="13"/>
      <c r="IVP41" s="12"/>
      <c r="IVQ41" s="18"/>
      <c r="IVR41" s="12"/>
      <c r="IVS41" s="19"/>
      <c r="IVT41" s="16"/>
      <c r="IVU41" s="18"/>
      <c r="IVV41" s="13"/>
      <c r="IVW41" s="12"/>
      <c r="IVX41" s="18"/>
      <c r="IVY41" s="12"/>
      <c r="IVZ41" s="19"/>
      <c r="IWA41" s="16"/>
      <c r="IWB41" s="18"/>
      <c r="IWC41" s="13"/>
      <c r="IWD41" s="12"/>
      <c r="IWE41" s="18"/>
      <c r="IWF41" s="12"/>
      <c r="IWG41" s="19"/>
      <c r="IWH41" s="16"/>
      <c r="IWI41" s="18"/>
      <c r="IWJ41" s="13"/>
      <c r="IWK41" s="12"/>
      <c r="IWL41" s="18"/>
      <c r="IWM41" s="12"/>
      <c r="IWN41" s="19"/>
      <c r="IWO41" s="16"/>
      <c r="IWP41" s="18"/>
      <c r="IWQ41" s="13"/>
      <c r="IWR41" s="12"/>
      <c r="IWS41" s="18"/>
      <c r="IWT41" s="12"/>
      <c r="IWU41" s="19"/>
      <c r="IWV41" s="16"/>
      <c r="IWW41" s="18"/>
      <c r="IWX41" s="13"/>
      <c r="IWY41" s="12"/>
      <c r="IWZ41" s="18"/>
      <c r="IXA41" s="12"/>
      <c r="IXB41" s="19"/>
      <c r="IXC41" s="16"/>
      <c r="IXD41" s="18"/>
      <c r="IXE41" s="13"/>
      <c r="IXF41" s="12"/>
      <c r="IXG41" s="18"/>
      <c r="IXH41" s="12"/>
      <c r="IXI41" s="19"/>
      <c r="IXJ41" s="16"/>
      <c r="IXK41" s="18"/>
      <c r="IXL41" s="13"/>
      <c r="IXM41" s="12"/>
      <c r="IXN41" s="18"/>
      <c r="IXO41" s="12"/>
      <c r="IXP41" s="19"/>
      <c r="IXQ41" s="16"/>
      <c r="IXR41" s="18"/>
      <c r="IXS41" s="13"/>
      <c r="IXT41" s="12"/>
      <c r="IXU41" s="18"/>
      <c r="IXV41" s="12"/>
      <c r="IXW41" s="19"/>
      <c r="IXX41" s="16"/>
      <c r="IXY41" s="18"/>
      <c r="IXZ41" s="13"/>
      <c r="IYA41" s="12"/>
      <c r="IYB41" s="18"/>
      <c r="IYC41" s="12"/>
      <c r="IYD41" s="19"/>
      <c r="IYE41" s="16"/>
      <c r="IYF41" s="18"/>
      <c r="IYG41" s="13"/>
      <c r="IYH41" s="12"/>
      <c r="IYI41" s="18"/>
      <c r="IYJ41" s="12"/>
      <c r="IYK41" s="19"/>
      <c r="IYL41" s="16"/>
      <c r="IYM41" s="18"/>
      <c r="IYN41" s="13"/>
      <c r="IYO41" s="12"/>
      <c r="IYP41" s="18"/>
      <c r="IYQ41" s="12"/>
      <c r="IYR41" s="19"/>
      <c r="IYS41" s="16"/>
      <c r="IYT41" s="18"/>
      <c r="IYU41" s="13"/>
      <c r="IYV41" s="12"/>
      <c r="IYW41" s="18"/>
      <c r="IYX41" s="12"/>
      <c r="IYY41" s="19"/>
      <c r="IYZ41" s="16"/>
      <c r="IZA41" s="18"/>
      <c r="IZB41" s="13"/>
      <c r="IZC41" s="12"/>
      <c r="IZD41" s="18"/>
      <c r="IZE41" s="12"/>
      <c r="IZF41" s="19"/>
      <c r="IZG41" s="16"/>
      <c r="IZH41" s="18"/>
      <c r="IZI41" s="13"/>
      <c r="IZJ41" s="12"/>
      <c r="IZK41" s="18"/>
      <c r="IZL41" s="12"/>
      <c r="IZM41" s="19"/>
      <c r="IZN41" s="16"/>
      <c r="IZO41" s="18"/>
      <c r="IZP41" s="13"/>
      <c r="IZQ41" s="12"/>
      <c r="IZR41" s="18"/>
      <c r="IZS41" s="12"/>
      <c r="IZT41" s="19"/>
      <c r="IZU41" s="16"/>
      <c r="IZV41" s="18"/>
      <c r="IZW41" s="13"/>
      <c r="IZX41" s="12"/>
      <c r="IZY41" s="18"/>
      <c r="IZZ41" s="12"/>
      <c r="JAA41" s="19"/>
      <c r="JAB41" s="16"/>
      <c r="JAC41" s="18"/>
      <c r="JAD41" s="13"/>
      <c r="JAE41" s="12"/>
      <c r="JAF41" s="18"/>
      <c r="JAG41" s="12"/>
      <c r="JAH41" s="19"/>
      <c r="JAI41" s="16"/>
      <c r="JAJ41" s="18"/>
      <c r="JAK41" s="13"/>
      <c r="JAL41" s="12"/>
      <c r="JAM41" s="18"/>
      <c r="JAN41" s="12"/>
      <c r="JAO41" s="19"/>
      <c r="JAP41" s="16"/>
      <c r="JAQ41" s="18"/>
      <c r="JAR41" s="13"/>
      <c r="JAS41" s="12"/>
      <c r="JAT41" s="18"/>
      <c r="JAU41" s="12"/>
      <c r="JAV41" s="19"/>
      <c r="JAW41" s="16"/>
      <c r="JAX41" s="18"/>
      <c r="JAY41" s="13"/>
      <c r="JAZ41" s="12"/>
      <c r="JBA41" s="18"/>
      <c r="JBB41" s="12"/>
      <c r="JBC41" s="19"/>
      <c r="JBD41" s="16"/>
      <c r="JBE41" s="18"/>
      <c r="JBF41" s="13"/>
      <c r="JBG41" s="12"/>
      <c r="JBH41" s="18"/>
      <c r="JBI41" s="12"/>
      <c r="JBJ41" s="19"/>
      <c r="JBK41" s="16"/>
      <c r="JBL41" s="18"/>
      <c r="JBM41" s="13"/>
      <c r="JBN41" s="12"/>
      <c r="JBO41" s="18"/>
      <c r="JBP41" s="12"/>
      <c r="JBQ41" s="19"/>
      <c r="JBR41" s="16"/>
      <c r="JBS41" s="18"/>
      <c r="JBT41" s="13"/>
      <c r="JBU41" s="12"/>
      <c r="JBV41" s="18"/>
      <c r="JBW41" s="12"/>
      <c r="JBX41" s="19"/>
      <c r="JBY41" s="16"/>
      <c r="JBZ41" s="18"/>
      <c r="JCA41" s="13"/>
      <c r="JCB41" s="12"/>
      <c r="JCC41" s="18"/>
      <c r="JCD41" s="12"/>
      <c r="JCE41" s="19"/>
      <c r="JCF41" s="16"/>
      <c r="JCG41" s="18"/>
      <c r="JCH41" s="13"/>
      <c r="JCI41" s="12"/>
      <c r="JCJ41" s="18"/>
      <c r="JCK41" s="12"/>
      <c r="JCL41" s="19"/>
      <c r="JCM41" s="16"/>
      <c r="JCN41" s="18"/>
      <c r="JCO41" s="13"/>
      <c r="JCP41" s="12"/>
      <c r="JCQ41" s="18"/>
      <c r="JCR41" s="12"/>
      <c r="JCS41" s="19"/>
      <c r="JCT41" s="16"/>
      <c r="JCU41" s="18"/>
      <c r="JCV41" s="13"/>
      <c r="JCW41" s="12"/>
      <c r="JCX41" s="18"/>
      <c r="JCY41" s="12"/>
      <c r="JCZ41" s="19"/>
      <c r="JDA41" s="16"/>
      <c r="JDB41" s="18"/>
      <c r="JDC41" s="13"/>
      <c r="JDD41" s="12"/>
      <c r="JDE41" s="18"/>
      <c r="JDF41" s="12"/>
      <c r="JDG41" s="19"/>
      <c r="JDH41" s="16"/>
      <c r="JDI41" s="18"/>
      <c r="JDJ41" s="13"/>
      <c r="JDK41" s="12"/>
      <c r="JDL41" s="18"/>
      <c r="JDM41" s="12"/>
      <c r="JDN41" s="19"/>
      <c r="JDO41" s="16"/>
      <c r="JDP41" s="18"/>
      <c r="JDQ41" s="13"/>
      <c r="JDR41" s="12"/>
      <c r="JDS41" s="18"/>
      <c r="JDT41" s="12"/>
      <c r="JDU41" s="19"/>
      <c r="JDV41" s="16"/>
      <c r="JDW41" s="18"/>
      <c r="JDX41" s="13"/>
      <c r="JDY41" s="12"/>
      <c r="JDZ41" s="18"/>
      <c r="JEA41" s="12"/>
      <c r="JEB41" s="19"/>
      <c r="JEC41" s="16"/>
      <c r="JED41" s="18"/>
      <c r="JEE41" s="13"/>
      <c r="JEF41" s="12"/>
      <c r="JEG41" s="18"/>
      <c r="JEH41" s="12"/>
      <c r="JEI41" s="19"/>
      <c r="JEJ41" s="16"/>
      <c r="JEK41" s="18"/>
      <c r="JEL41" s="13"/>
      <c r="JEM41" s="12"/>
      <c r="JEN41" s="18"/>
      <c r="JEO41" s="12"/>
      <c r="JEP41" s="19"/>
      <c r="JEQ41" s="16"/>
      <c r="JER41" s="18"/>
      <c r="JES41" s="13"/>
      <c r="JET41" s="12"/>
      <c r="JEU41" s="18"/>
      <c r="JEV41" s="12"/>
      <c r="JEW41" s="19"/>
      <c r="JEX41" s="16"/>
      <c r="JEY41" s="18"/>
      <c r="JEZ41" s="13"/>
      <c r="JFA41" s="12"/>
      <c r="JFB41" s="18"/>
      <c r="JFC41" s="12"/>
      <c r="JFD41" s="19"/>
      <c r="JFE41" s="16"/>
      <c r="JFF41" s="18"/>
      <c r="JFG41" s="13"/>
      <c r="JFH41" s="12"/>
      <c r="JFI41" s="18"/>
      <c r="JFJ41" s="12"/>
      <c r="JFK41" s="19"/>
      <c r="JFL41" s="16"/>
      <c r="JFM41" s="18"/>
      <c r="JFN41" s="13"/>
      <c r="JFO41" s="12"/>
      <c r="JFP41" s="18"/>
      <c r="JFQ41" s="12"/>
      <c r="JFR41" s="19"/>
      <c r="JFS41" s="16"/>
      <c r="JFT41" s="18"/>
      <c r="JFU41" s="13"/>
      <c r="JFV41" s="12"/>
      <c r="JFW41" s="18"/>
      <c r="JFX41" s="12"/>
      <c r="JFY41" s="19"/>
      <c r="JFZ41" s="16"/>
      <c r="JGA41" s="18"/>
      <c r="JGB41" s="13"/>
      <c r="JGC41" s="12"/>
      <c r="JGD41" s="18"/>
      <c r="JGE41" s="12"/>
      <c r="JGF41" s="19"/>
      <c r="JGG41" s="16"/>
      <c r="JGH41" s="18"/>
      <c r="JGI41" s="13"/>
      <c r="JGJ41" s="12"/>
      <c r="JGK41" s="18"/>
      <c r="JGL41" s="12"/>
      <c r="JGM41" s="19"/>
      <c r="JGN41" s="16"/>
      <c r="JGO41" s="18"/>
      <c r="JGP41" s="13"/>
      <c r="JGQ41" s="12"/>
      <c r="JGR41" s="18"/>
      <c r="JGS41" s="12"/>
      <c r="JGT41" s="19"/>
      <c r="JGU41" s="16"/>
      <c r="JGV41" s="18"/>
      <c r="JGW41" s="13"/>
      <c r="JGX41" s="12"/>
      <c r="JGY41" s="18"/>
      <c r="JGZ41" s="12"/>
      <c r="JHA41" s="19"/>
      <c r="JHB41" s="16"/>
      <c r="JHC41" s="18"/>
      <c r="JHD41" s="13"/>
      <c r="JHE41" s="12"/>
      <c r="JHF41" s="18"/>
      <c r="JHG41" s="12"/>
      <c r="JHH41" s="19"/>
      <c r="JHI41" s="16"/>
      <c r="JHJ41" s="18"/>
      <c r="JHK41" s="13"/>
      <c r="JHL41" s="12"/>
      <c r="JHM41" s="18"/>
      <c r="JHN41" s="12"/>
      <c r="JHO41" s="19"/>
      <c r="JHP41" s="16"/>
      <c r="JHQ41" s="18"/>
      <c r="JHR41" s="13"/>
      <c r="JHS41" s="12"/>
      <c r="JHT41" s="18"/>
      <c r="JHU41" s="12"/>
      <c r="JHV41" s="19"/>
      <c r="JHW41" s="16"/>
      <c r="JHX41" s="18"/>
      <c r="JHY41" s="13"/>
      <c r="JHZ41" s="12"/>
      <c r="JIA41" s="18"/>
      <c r="JIB41" s="12"/>
      <c r="JIC41" s="19"/>
      <c r="JID41" s="16"/>
      <c r="JIE41" s="18"/>
      <c r="JIF41" s="13"/>
      <c r="JIG41" s="12"/>
      <c r="JIH41" s="18"/>
      <c r="JII41" s="12"/>
      <c r="JIJ41" s="19"/>
      <c r="JIK41" s="16"/>
      <c r="JIL41" s="18"/>
      <c r="JIM41" s="13"/>
      <c r="JIN41" s="12"/>
      <c r="JIO41" s="18"/>
      <c r="JIP41" s="12"/>
      <c r="JIQ41" s="19"/>
      <c r="JIR41" s="16"/>
      <c r="JIS41" s="18"/>
      <c r="JIT41" s="13"/>
      <c r="JIU41" s="12"/>
      <c r="JIV41" s="18"/>
      <c r="JIW41" s="12"/>
      <c r="JIX41" s="19"/>
      <c r="JIY41" s="16"/>
      <c r="JIZ41" s="18"/>
      <c r="JJA41" s="13"/>
      <c r="JJB41" s="12"/>
      <c r="JJC41" s="18"/>
      <c r="JJD41" s="12"/>
      <c r="JJE41" s="19"/>
      <c r="JJF41" s="16"/>
      <c r="JJG41" s="18"/>
      <c r="JJH41" s="13"/>
      <c r="JJI41" s="12"/>
      <c r="JJJ41" s="18"/>
      <c r="JJK41" s="12"/>
      <c r="JJL41" s="19"/>
      <c r="JJM41" s="16"/>
      <c r="JJN41" s="18"/>
      <c r="JJO41" s="13"/>
      <c r="JJP41" s="12"/>
      <c r="JJQ41" s="18"/>
      <c r="JJR41" s="12"/>
      <c r="JJS41" s="19"/>
      <c r="JJT41" s="16"/>
      <c r="JJU41" s="18"/>
      <c r="JJV41" s="13"/>
      <c r="JJW41" s="12"/>
      <c r="JJX41" s="18"/>
      <c r="JJY41" s="12"/>
      <c r="JJZ41" s="19"/>
      <c r="JKA41" s="16"/>
      <c r="JKB41" s="18"/>
      <c r="JKC41" s="13"/>
      <c r="JKD41" s="12"/>
      <c r="JKE41" s="18"/>
      <c r="JKF41" s="12"/>
      <c r="JKG41" s="19"/>
      <c r="JKH41" s="16"/>
      <c r="JKI41" s="18"/>
      <c r="JKJ41" s="13"/>
      <c r="JKK41" s="12"/>
      <c r="JKL41" s="18"/>
      <c r="JKM41" s="12"/>
      <c r="JKN41" s="19"/>
      <c r="JKO41" s="16"/>
      <c r="JKP41" s="18"/>
      <c r="JKQ41" s="13"/>
      <c r="JKR41" s="12"/>
      <c r="JKS41" s="18"/>
      <c r="JKT41" s="12"/>
      <c r="JKU41" s="19"/>
      <c r="JKV41" s="16"/>
      <c r="JKW41" s="18"/>
      <c r="JKX41" s="13"/>
      <c r="JKY41" s="12"/>
      <c r="JKZ41" s="18"/>
      <c r="JLA41" s="12"/>
      <c r="JLB41" s="19"/>
      <c r="JLC41" s="16"/>
      <c r="JLD41" s="18"/>
      <c r="JLE41" s="13"/>
      <c r="JLF41" s="12"/>
      <c r="JLG41" s="18"/>
      <c r="JLH41" s="12"/>
      <c r="JLI41" s="19"/>
      <c r="JLJ41" s="16"/>
      <c r="JLK41" s="18"/>
      <c r="JLL41" s="13"/>
      <c r="JLM41" s="12"/>
      <c r="JLN41" s="18"/>
      <c r="JLO41" s="12"/>
      <c r="JLP41" s="19"/>
      <c r="JLQ41" s="16"/>
      <c r="JLR41" s="18"/>
      <c r="JLS41" s="13"/>
      <c r="JLT41" s="12"/>
      <c r="JLU41" s="18"/>
      <c r="JLV41" s="12"/>
      <c r="JLW41" s="19"/>
      <c r="JLX41" s="16"/>
      <c r="JLY41" s="18"/>
      <c r="JLZ41" s="13"/>
      <c r="JMA41" s="12"/>
      <c r="JMB41" s="18"/>
      <c r="JMC41" s="12"/>
      <c r="JMD41" s="19"/>
      <c r="JME41" s="16"/>
      <c r="JMF41" s="18"/>
      <c r="JMG41" s="13"/>
      <c r="JMH41" s="12"/>
      <c r="JMI41" s="18"/>
      <c r="JMJ41" s="12"/>
      <c r="JMK41" s="19"/>
      <c r="JML41" s="16"/>
      <c r="JMM41" s="18"/>
      <c r="JMN41" s="13"/>
      <c r="JMO41" s="12"/>
      <c r="JMP41" s="18"/>
      <c r="JMQ41" s="12"/>
      <c r="JMR41" s="19"/>
      <c r="JMS41" s="16"/>
      <c r="JMT41" s="18"/>
      <c r="JMU41" s="13"/>
      <c r="JMV41" s="12"/>
      <c r="JMW41" s="18"/>
      <c r="JMX41" s="12"/>
      <c r="JMY41" s="19"/>
      <c r="JMZ41" s="16"/>
      <c r="JNA41" s="18"/>
      <c r="JNB41" s="13"/>
      <c r="JNC41" s="12"/>
      <c r="JND41" s="18"/>
      <c r="JNE41" s="12"/>
      <c r="JNF41" s="19"/>
      <c r="JNG41" s="16"/>
      <c r="JNH41" s="18"/>
      <c r="JNI41" s="13"/>
      <c r="JNJ41" s="12"/>
      <c r="JNK41" s="18"/>
      <c r="JNL41" s="12"/>
      <c r="JNM41" s="19"/>
      <c r="JNN41" s="16"/>
      <c r="JNO41" s="18"/>
      <c r="JNP41" s="13"/>
      <c r="JNQ41" s="12"/>
      <c r="JNR41" s="18"/>
      <c r="JNS41" s="12"/>
      <c r="JNT41" s="19"/>
      <c r="JNU41" s="16"/>
      <c r="JNV41" s="18"/>
      <c r="JNW41" s="13"/>
      <c r="JNX41" s="12"/>
      <c r="JNY41" s="18"/>
      <c r="JNZ41" s="12"/>
      <c r="JOA41" s="19"/>
      <c r="JOB41" s="16"/>
      <c r="JOC41" s="18"/>
      <c r="JOD41" s="13"/>
      <c r="JOE41" s="12"/>
      <c r="JOF41" s="18"/>
      <c r="JOG41" s="12"/>
      <c r="JOH41" s="19"/>
      <c r="JOI41" s="16"/>
      <c r="JOJ41" s="18"/>
      <c r="JOK41" s="13"/>
      <c r="JOL41" s="12"/>
      <c r="JOM41" s="18"/>
      <c r="JON41" s="12"/>
      <c r="JOO41" s="19"/>
      <c r="JOP41" s="16"/>
      <c r="JOQ41" s="18"/>
      <c r="JOR41" s="13"/>
      <c r="JOS41" s="12"/>
      <c r="JOT41" s="18"/>
      <c r="JOU41" s="12"/>
      <c r="JOV41" s="19"/>
      <c r="JOW41" s="16"/>
      <c r="JOX41" s="18"/>
      <c r="JOY41" s="13"/>
      <c r="JOZ41" s="12"/>
      <c r="JPA41" s="18"/>
      <c r="JPB41" s="12"/>
      <c r="JPC41" s="19"/>
      <c r="JPD41" s="16"/>
      <c r="JPE41" s="18"/>
      <c r="JPF41" s="13"/>
      <c r="JPG41" s="12"/>
      <c r="JPH41" s="18"/>
      <c r="JPI41" s="12"/>
      <c r="JPJ41" s="19"/>
      <c r="JPK41" s="16"/>
      <c r="JPL41" s="18"/>
      <c r="JPM41" s="13"/>
      <c r="JPN41" s="12"/>
      <c r="JPO41" s="18"/>
      <c r="JPP41" s="12"/>
      <c r="JPQ41" s="19"/>
      <c r="JPR41" s="16"/>
      <c r="JPS41" s="18"/>
      <c r="JPT41" s="13"/>
      <c r="JPU41" s="12"/>
      <c r="JPV41" s="18"/>
      <c r="JPW41" s="12"/>
      <c r="JPX41" s="19"/>
      <c r="JPY41" s="16"/>
      <c r="JPZ41" s="18"/>
      <c r="JQA41" s="13"/>
      <c r="JQB41" s="12"/>
      <c r="JQC41" s="18"/>
      <c r="JQD41" s="12"/>
      <c r="JQE41" s="19"/>
      <c r="JQF41" s="16"/>
      <c r="JQG41" s="18"/>
      <c r="JQH41" s="13"/>
      <c r="JQI41" s="12"/>
      <c r="JQJ41" s="18"/>
      <c r="JQK41" s="12"/>
      <c r="JQL41" s="19"/>
      <c r="JQM41" s="16"/>
      <c r="JQN41" s="18"/>
      <c r="JQO41" s="13"/>
      <c r="JQP41" s="12"/>
      <c r="JQQ41" s="18"/>
      <c r="JQR41" s="12"/>
      <c r="JQS41" s="19"/>
      <c r="JQT41" s="16"/>
      <c r="JQU41" s="18"/>
      <c r="JQV41" s="13"/>
      <c r="JQW41" s="12"/>
      <c r="JQX41" s="18"/>
      <c r="JQY41" s="12"/>
      <c r="JQZ41" s="19"/>
      <c r="JRA41" s="16"/>
      <c r="JRB41" s="18"/>
      <c r="JRC41" s="13"/>
      <c r="JRD41" s="12"/>
      <c r="JRE41" s="18"/>
      <c r="JRF41" s="12"/>
      <c r="JRG41" s="19"/>
      <c r="JRH41" s="16"/>
      <c r="JRI41" s="18"/>
      <c r="JRJ41" s="13"/>
      <c r="JRK41" s="12"/>
      <c r="JRL41" s="18"/>
      <c r="JRM41" s="12"/>
      <c r="JRN41" s="19"/>
      <c r="JRO41" s="16"/>
      <c r="JRP41" s="18"/>
      <c r="JRQ41" s="13"/>
      <c r="JRR41" s="12"/>
      <c r="JRS41" s="18"/>
      <c r="JRT41" s="12"/>
      <c r="JRU41" s="19"/>
      <c r="JRV41" s="16"/>
      <c r="JRW41" s="18"/>
      <c r="JRX41" s="13"/>
      <c r="JRY41" s="12"/>
      <c r="JRZ41" s="18"/>
      <c r="JSA41" s="12"/>
      <c r="JSB41" s="19"/>
      <c r="JSC41" s="16"/>
      <c r="JSD41" s="18"/>
      <c r="JSE41" s="13"/>
      <c r="JSF41" s="12"/>
      <c r="JSG41" s="18"/>
      <c r="JSH41" s="12"/>
      <c r="JSI41" s="19"/>
      <c r="JSJ41" s="16"/>
      <c r="JSK41" s="18"/>
      <c r="JSL41" s="13"/>
      <c r="JSM41" s="12"/>
      <c r="JSN41" s="18"/>
      <c r="JSO41" s="12"/>
      <c r="JSP41" s="19"/>
      <c r="JSQ41" s="16"/>
      <c r="JSR41" s="18"/>
      <c r="JSS41" s="13"/>
      <c r="JST41" s="12"/>
      <c r="JSU41" s="18"/>
      <c r="JSV41" s="12"/>
      <c r="JSW41" s="19"/>
      <c r="JSX41" s="16"/>
      <c r="JSY41" s="18"/>
      <c r="JSZ41" s="13"/>
      <c r="JTA41" s="12"/>
      <c r="JTB41" s="18"/>
      <c r="JTC41" s="12"/>
      <c r="JTD41" s="19"/>
      <c r="JTE41" s="16"/>
      <c r="JTF41" s="18"/>
      <c r="JTG41" s="13"/>
      <c r="JTH41" s="12"/>
      <c r="JTI41" s="18"/>
      <c r="JTJ41" s="12"/>
      <c r="JTK41" s="19"/>
      <c r="JTL41" s="16"/>
      <c r="JTM41" s="18"/>
      <c r="JTN41" s="13"/>
      <c r="JTO41" s="12"/>
      <c r="JTP41" s="18"/>
      <c r="JTQ41" s="12"/>
      <c r="JTR41" s="19"/>
      <c r="JTS41" s="16"/>
      <c r="JTT41" s="18"/>
      <c r="JTU41" s="13"/>
      <c r="JTV41" s="12"/>
      <c r="JTW41" s="18"/>
      <c r="JTX41" s="12"/>
      <c r="JTY41" s="19"/>
      <c r="JTZ41" s="16"/>
      <c r="JUA41" s="18"/>
      <c r="JUB41" s="13"/>
      <c r="JUC41" s="12"/>
      <c r="JUD41" s="18"/>
      <c r="JUE41" s="12"/>
      <c r="JUF41" s="19"/>
      <c r="JUG41" s="16"/>
      <c r="JUH41" s="18"/>
      <c r="JUI41" s="13"/>
      <c r="JUJ41" s="12"/>
      <c r="JUK41" s="18"/>
      <c r="JUL41" s="12"/>
      <c r="JUM41" s="19"/>
      <c r="JUN41" s="16"/>
      <c r="JUO41" s="18"/>
      <c r="JUP41" s="13"/>
      <c r="JUQ41" s="12"/>
      <c r="JUR41" s="18"/>
      <c r="JUS41" s="12"/>
      <c r="JUT41" s="19"/>
      <c r="JUU41" s="16"/>
      <c r="JUV41" s="18"/>
      <c r="JUW41" s="13"/>
      <c r="JUX41" s="12"/>
      <c r="JUY41" s="18"/>
      <c r="JUZ41" s="12"/>
      <c r="JVA41" s="19"/>
      <c r="JVB41" s="16"/>
      <c r="JVC41" s="18"/>
      <c r="JVD41" s="13"/>
      <c r="JVE41" s="12"/>
      <c r="JVF41" s="18"/>
      <c r="JVG41" s="12"/>
      <c r="JVH41" s="19"/>
      <c r="JVI41" s="16"/>
      <c r="JVJ41" s="18"/>
      <c r="JVK41" s="13"/>
      <c r="JVL41" s="12"/>
      <c r="JVM41" s="18"/>
      <c r="JVN41" s="12"/>
      <c r="JVO41" s="19"/>
      <c r="JVP41" s="16"/>
      <c r="JVQ41" s="18"/>
      <c r="JVR41" s="13"/>
      <c r="JVS41" s="12"/>
      <c r="JVT41" s="18"/>
      <c r="JVU41" s="12"/>
      <c r="JVV41" s="19"/>
      <c r="JVW41" s="16"/>
      <c r="JVX41" s="18"/>
      <c r="JVY41" s="13"/>
      <c r="JVZ41" s="12"/>
      <c r="JWA41" s="18"/>
      <c r="JWB41" s="12"/>
      <c r="JWC41" s="19"/>
      <c r="JWD41" s="16"/>
      <c r="JWE41" s="18"/>
      <c r="JWF41" s="13"/>
      <c r="JWG41" s="12"/>
      <c r="JWH41" s="18"/>
      <c r="JWI41" s="12"/>
      <c r="JWJ41" s="19"/>
      <c r="JWK41" s="16"/>
      <c r="JWL41" s="18"/>
      <c r="JWM41" s="13"/>
      <c r="JWN41" s="12"/>
      <c r="JWO41" s="18"/>
      <c r="JWP41" s="12"/>
      <c r="JWQ41" s="19"/>
      <c r="JWR41" s="16"/>
      <c r="JWS41" s="18"/>
      <c r="JWT41" s="13"/>
      <c r="JWU41" s="12"/>
      <c r="JWV41" s="18"/>
      <c r="JWW41" s="12"/>
      <c r="JWX41" s="19"/>
      <c r="JWY41" s="16"/>
      <c r="JWZ41" s="18"/>
      <c r="JXA41" s="13"/>
      <c r="JXB41" s="12"/>
      <c r="JXC41" s="18"/>
      <c r="JXD41" s="12"/>
      <c r="JXE41" s="19"/>
      <c r="JXF41" s="16"/>
      <c r="JXG41" s="18"/>
      <c r="JXH41" s="13"/>
      <c r="JXI41" s="12"/>
      <c r="JXJ41" s="18"/>
      <c r="JXK41" s="12"/>
      <c r="JXL41" s="19"/>
      <c r="JXM41" s="16"/>
      <c r="JXN41" s="18"/>
      <c r="JXO41" s="13"/>
      <c r="JXP41" s="12"/>
      <c r="JXQ41" s="18"/>
      <c r="JXR41" s="12"/>
      <c r="JXS41" s="19"/>
      <c r="JXT41" s="16"/>
      <c r="JXU41" s="18"/>
      <c r="JXV41" s="13"/>
      <c r="JXW41" s="12"/>
      <c r="JXX41" s="18"/>
      <c r="JXY41" s="12"/>
      <c r="JXZ41" s="19"/>
      <c r="JYA41" s="16"/>
      <c r="JYB41" s="18"/>
      <c r="JYC41" s="13"/>
      <c r="JYD41" s="12"/>
      <c r="JYE41" s="18"/>
      <c r="JYF41" s="12"/>
      <c r="JYG41" s="19"/>
      <c r="JYH41" s="16"/>
      <c r="JYI41" s="18"/>
      <c r="JYJ41" s="13"/>
      <c r="JYK41" s="12"/>
      <c r="JYL41" s="18"/>
      <c r="JYM41" s="12"/>
      <c r="JYN41" s="19"/>
      <c r="JYO41" s="16"/>
      <c r="JYP41" s="18"/>
      <c r="JYQ41" s="13"/>
      <c r="JYR41" s="12"/>
      <c r="JYS41" s="18"/>
      <c r="JYT41" s="12"/>
      <c r="JYU41" s="19"/>
      <c r="JYV41" s="16"/>
      <c r="JYW41" s="18"/>
      <c r="JYX41" s="13"/>
      <c r="JYY41" s="12"/>
      <c r="JYZ41" s="18"/>
      <c r="JZA41" s="12"/>
      <c r="JZB41" s="19"/>
      <c r="JZC41" s="16"/>
      <c r="JZD41" s="18"/>
      <c r="JZE41" s="13"/>
      <c r="JZF41" s="12"/>
      <c r="JZG41" s="18"/>
      <c r="JZH41" s="12"/>
      <c r="JZI41" s="19"/>
      <c r="JZJ41" s="16"/>
      <c r="JZK41" s="18"/>
      <c r="JZL41" s="13"/>
      <c r="JZM41" s="12"/>
      <c r="JZN41" s="18"/>
      <c r="JZO41" s="12"/>
      <c r="JZP41" s="19"/>
      <c r="JZQ41" s="16"/>
      <c r="JZR41" s="18"/>
      <c r="JZS41" s="13"/>
      <c r="JZT41" s="12"/>
      <c r="JZU41" s="18"/>
      <c r="JZV41" s="12"/>
      <c r="JZW41" s="19"/>
      <c r="JZX41" s="16"/>
      <c r="JZY41" s="18"/>
      <c r="JZZ41" s="13"/>
      <c r="KAA41" s="12"/>
      <c r="KAB41" s="18"/>
      <c r="KAC41" s="12"/>
      <c r="KAD41" s="19"/>
      <c r="KAE41" s="16"/>
      <c r="KAF41" s="18"/>
      <c r="KAG41" s="13"/>
      <c r="KAH41" s="12"/>
      <c r="KAI41" s="18"/>
      <c r="KAJ41" s="12"/>
      <c r="KAK41" s="19"/>
      <c r="KAL41" s="16"/>
      <c r="KAM41" s="18"/>
      <c r="KAN41" s="13"/>
      <c r="KAO41" s="12"/>
      <c r="KAP41" s="18"/>
      <c r="KAQ41" s="12"/>
      <c r="KAR41" s="19"/>
      <c r="KAS41" s="16"/>
      <c r="KAT41" s="18"/>
      <c r="KAU41" s="13"/>
      <c r="KAV41" s="12"/>
      <c r="KAW41" s="18"/>
      <c r="KAX41" s="12"/>
      <c r="KAY41" s="19"/>
      <c r="KAZ41" s="16"/>
      <c r="KBA41" s="18"/>
      <c r="KBB41" s="13"/>
      <c r="KBC41" s="12"/>
      <c r="KBD41" s="18"/>
      <c r="KBE41" s="12"/>
      <c r="KBF41" s="19"/>
      <c r="KBG41" s="16"/>
      <c r="KBH41" s="18"/>
      <c r="KBI41" s="13"/>
      <c r="KBJ41" s="12"/>
      <c r="KBK41" s="18"/>
      <c r="KBL41" s="12"/>
      <c r="KBM41" s="19"/>
      <c r="KBN41" s="16"/>
      <c r="KBO41" s="18"/>
      <c r="KBP41" s="13"/>
      <c r="KBQ41" s="12"/>
      <c r="KBR41" s="18"/>
      <c r="KBS41" s="12"/>
      <c r="KBT41" s="19"/>
      <c r="KBU41" s="16"/>
      <c r="KBV41" s="18"/>
      <c r="KBW41" s="13"/>
      <c r="KBX41" s="12"/>
      <c r="KBY41" s="18"/>
      <c r="KBZ41" s="12"/>
      <c r="KCA41" s="19"/>
      <c r="KCB41" s="16"/>
      <c r="KCC41" s="18"/>
      <c r="KCD41" s="13"/>
      <c r="KCE41" s="12"/>
      <c r="KCF41" s="18"/>
      <c r="KCG41" s="12"/>
      <c r="KCH41" s="19"/>
      <c r="KCI41" s="16"/>
      <c r="KCJ41" s="18"/>
      <c r="KCK41" s="13"/>
      <c r="KCL41" s="12"/>
      <c r="KCM41" s="18"/>
      <c r="KCN41" s="12"/>
      <c r="KCO41" s="19"/>
      <c r="KCP41" s="16"/>
      <c r="KCQ41" s="18"/>
      <c r="KCR41" s="13"/>
      <c r="KCS41" s="12"/>
      <c r="KCT41" s="18"/>
      <c r="KCU41" s="12"/>
      <c r="KCV41" s="19"/>
      <c r="KCW41" s="16"/>
      <c r="KCX41" s="18"/>
      <c r="KCY41" s="13"/>
      <c r="KCZ41" s="12"/>
      <c r="KDA41" s="18"/>
      <c r="KDB41" s="12"/>
      <c r="KDC41" s="19"/>
      <c r="KDD41" s="16"/>
      <c r="KDE41" s="18"/>
      <c r="KDF41" s="13"/>
      <c r="KDG41" s="12"/>
      <c r="KDH41" s="18"/>
      <c r="KDI41" s="12"/>
      <c r="KDJ41" s="19"/>
      <c r="KDK41" s="16"/>
      <c r="KDL41" s="18"/>
      <c r="KDM41" s="13"/>
      <c r="KDN41" s="12"/>
      <c r="KDO41" s="18"/>
      <c r="KDP41" s="12"/>
      <c r="KDQ41" s="19"/>
      <c r="KDR41" s="16"/>
      <c r="KDS41" s="18"/>
      <c r="KDT41" s="13"/>
      <c r="KDU41" s="12"/>
      <c r="KDV41" s="18"/>
      <c r="KDW41" s="12"/>
      <c r="KDX41" s="19"/>
      <c r="KDY41" s="16"/>
      <c r="KDZ41" s="18"/>
      <c r="KEA41" s="13"/>
      <c r="KEB41" s="12"/>
      <c r="KEC41" s="18"/>
      <c r="KED41" s="12"/>
      <c r="KEE41" s="19"/>
      <c r="KEF41" s="16"/>
      <c r="KEG41" s="18"/>
      <c r="KEH41" s="13"/>
      <c r="KEI41" s="12"/>
      <c r="KEJ41" s="18"/>
      <c r="KEK41" s="12"/>
      <c r="KEL41" s="19"/>
      <c r="KEM41" s="16"/>
      <c r="KEN41" s="18"/>
      <c r="KEO41" s="13"/>
      <c r="KEP41" s="12"/>
      <c r="KEQ41" s="18"/>
      <c r="KER41" s="12"/>
      <c r="KES41" s="19"/>
      <c r="KET41" s="16"/>
      <c r="KEU41" s="18"/>
      <c r="KEV41" s="13"/>
      <c r="KEW41" s="12"/>
      <c r="KEX41" s="18"/>
      <c r="KEY41" s="12"/>
      <c r="KEZ41" s="19"/>
      <c r="KFA41" s="16"/>
      <c r="KFB41" s="18"/>
      <c r="KFC41" s="13"/>
      <c r="KFD41" s="12"/>
      <c r="KFE41" s="18"/>
      <c r="KFF41" s="12"/>
      <c r="KFG41" s="19"/>
      <c r="KFH41" s="16"/>
      <c r="KFI41" s="18"/>
      <c r="KFJ41" s="13"/>
      <c r="KFK41" s="12"/>
      <c r="KFL41" s="18"/>
      <c r="KFM41" s="12"/>
      <c r="KFN41" s="19"/>
      <c r="KFO41" s="16"/>
      <c r="KFP41" s="18"/>
      <c r="KFQ41" s="13"/>
      <c r="KFR41" s="12"/>
      <c r="KFS41" s="18"/>
      <c r="KFT41" s="12"/>
      <c r="KFU41" s="19"/>
      <c r="KFV41" s="16"/>
      <c r="KFW41" s="18"/>
      <c r="KFX41" s="13"/>
      <c r="KFY41" s="12"/>
      <c r="KFZ41" s="18"/>
      <c r="KGA41" s="12"/>
      <c r="KGB41" s="19"/>
      <c r="KGC41" s="16"/>
      <c r="KGD41" s="18"/>
      <c r="KGE41" s="13"/>
      <c r="KGF41" s="12"/>
      <c r="KGG41" s="18"/>
      <c r="KGH41" s="12"/>
      <c r="KGI41" s="19"/>
      <c r="KGJ41" s="16"/>
      <c r="KGK41" s="18"/>
      <c r="KGL41" s="13"/>
      <c r="KGM41" s="12"/>
      <c r="KGN41" s="18"/>
      <c r="KGO41" s="12"/>
      <c r="KGP41" s="19"/>
      <c r="KGQ41" s="16"/>
      <c r="KGR41" s="18"/>
      <c r="KGS41" s="13"/>
      <c r="KGT41" s="12"/>
      <c r="KGU41" s="18"/>
      <c r="KGV41" s="12"/>
      <c r="KGW41" s="19"/>
      <c r="KGX41" s="16"/>
      <c r="KGY41" s="18"/>
      <c r="KGZ41" s="13"/>
      <c r="KHA41" s="12"/>
      <c r="KHB41" s="18"/>
      <c r="KHC41" s="12"/>
      <c r="KHD41" s="19"/>
      <c r="KHE41" s="16"/>
      <c r="KHF41" s="18"/>
      <c r="KHG41" s="13"/>
      <c r="KHH41" s="12"/>
      <c r="KHI41" s="18"/>
      <c r="KHJ41" s="12"/>
      <c r="KHK41" s="19"/>
      <c r="KHL41" s="16"/>
      <c r="KHM41" s="18"/>
      <c r="KHN41" s="13"/>
      <c r="KHO41" s="12"/>
      <c r="KHP41" s="18"/>
      <c r="KHQ41" s="12"/>
      <c r="KHR41" s="19"/>
      <c r="KHS41" s="16"/>
      <c r="KHT41" s="18"/>
      <c r="KHU41" s="13"/>
      <c r="KHV41" s="12"/>
      <c r="KHW41" s="18"/>
      <c r="KHX41" s="12"/>
      <c r="KHY41" s="19"/>
      <c r="KHZ41" s="16"/>
      <c r="KIA41" s="18"/>
      <c r="KIB41" s="13"/>
      <c r="KIC41" s="12"/>
      <c r="KID41" s="18"/>
      <c r="KIE41" s="12"/>
      <c r="KIF41" s="19"/>
      <c r="KIG41" s="16"/>
      <c r="KIH41" s="18"/>
      <c r="KII41" s="13"/>
      <c r="KIJ41" s="12"/>
      <c r="KIK41" s="18"/>
      <c r="KIL41" s="12"/>
      <c r="KIM41" s="19"/>
      <c r="KIN41" s="16"/>
      <c r="KIO41" s="18"/>
      <c r="KIP41" s="13"/>
      <c r="KIQ41" s="12"/>
      <c r="KIR41" s="18"/>
      <c r="KIS41" s="12"/>
      <c r="KIT41" s="19"/>
      <c r="KIU41" s="16"/>
      <c r="KIV41" s="18"/>
      <c r="KIW41" s="13"/>
      <c r="KIX41" s="12"/>
      <c r="KIY41" s="18"/>
      <c r="KIZ41" s="12"/>
      <c r="KJA41" s="19"/>
      <c r="KJB41" s="16"/>
      <c r="KJC41" s="18"/>
      <c r="KJD41" s="13"/>
      <c r="KJE41" s="12"/>
      <c r="KJF41" s="18"/>
      <c r="KJG41" s="12"/>
      <c r="KJH41" s="19"/>
      <c r="KJI41" s="16"/>
      <c r="KJJ41" s="18"/>
      <c r="KJK41" s="13"/>
      <c r="KJL41" s="12"/>
      <c r="KJM41" s="18"/>
      <c r="KJN41" s="12"/>
      <c r="KJO41" s="19"/>
      <c r="KJP41" s="16"/>
      <c r="KJQ41" s="18"/>
      <c r="KJR41" s="13"/>
      <c r="KJS41" s="12"/>
      <c r="KJT41" s="18"/>
      <c r="KJU41" s="12"/>
      <c r="KJV41" s="19"/>
      <c r="KJW41" s="16"/>
      <c r="KJX41" s="18"/>
      <c r="KJY41" s="13"/>
      <c r="KJZ41" s="12"/>
      <c r="KKA41" s="18"/>
      <c r="KKB41" s="12"/>
      <c r="KKC41" s="19"/>
      <c r="KKD41" s="16"/>
      <c r="KKE41" s="18"/>
      <c r="KKF41" s="13"/>
      <c r="KKG41" s="12"/>
      <c r="KKH41" s="18"/>
      <c r="KKI41" s="12"/>
      <c r="KKJ41" s="19"/>
      <c r="KKK41" s="16"/>
      <c r="KKL41" s="18"/>
      <c r="KKM41" s="13"/>
      <c r="KKN41" s="12"/>
      <c r="KKO41" s="18"/>
      <c r="KKP41" s="12"/>
      <c r="KKQ41" s="19"/>
      <c r="KKR41" s="16"/>
      <c r="KKS41" s="18"/>
      <c r="KKT41" s="13"/>
      <c r="KKU41" s="12"/>
      <c r="KKV41" s="18"/>
      <c r="KKW41" s="12"/>
      <c r="KKX41" s="19"/>
      <c r="KKY41" s="16"/>
      <c r="KKZ41" s="18"/>
      <c r="KLA41" s="13"/>
      <c r="KLB41" s="12"/>
      <c r="KLC41" s="18"/>
      <c r="KLD41" s="12"/>
      <c r="KLE41" s="19"/>
      <c r="KLF41" s="16"/>
      <c r="KLG41" s="18"/>
      <c r="KLH41" s="13"/>
      <c r="KLI41" s="12"/>
      <c r="KLJ41" s="18"/>
      <c r="KLK41" s="12"/>
      <c r="KLL41" s="19"/>
      <c r="KLM41" s="16"/>
      <c r="KLN41" s="18"/>
      <c r="KLO41" s="13"/>
      <c r="KLP41" s="12"/>
      <c r="KLQ41" s="18"/>
      <c r="KLR41" s="12"/>
      <c r="KLS41" s="19"/>
      <c r="KLT41" s="16"/>
      <c r="KLU41" s="18"/>
      <c r="KLV41" s="13"/>
      <c r="KLW41" s="12"/>
      <c r="KLX41" s="18"/>
      <c r="KLY41" s="12"/>
      <c r="KLZ41" s="19"/>
      <c r="KMA41" s="16"/>
      <c r="KMB41" s="18"/>
      <c r="KMC41" s="13"/>
      <c r="KMD41" s="12"/>
      <c r="KME41" s="18"/>
      <c r="KMF41" s="12"/>
      <c r="KMG41" s="19"/>
      <c r="KMH41" s="16"/>
      <c r="KMI41" s="18"/>
      <c r="KMJ41" s="13"/>
      <c r="KMK41" s="12"/>
      <c r="KML41" s="18"/>
      <c r="KMM41" s="12"/>
      <c r="KMN41" s="19"/>
      <c r="KMO41" s="16"/>
      <c r="KMP41" s="18"/>
      <c r="KMQ41" s="13"/>
      <c r="KMR41" s="12"/>
      <c r="KMS41" s="18"/>
      <c r="KMT41" s="12"/>
      <c r="KMU41" s="19"/>
      <c r="KMV41" s="16"/>
      <c r="KMW41" s="18"/>
      <c r="KMX41" s="13"/>
      <c r="KMY41" s="12"/>
      <c r="KMZ41" s="18"/>
      <c r="KNA41" s="12"/>
      <c r="KNB41" s="19"/>
      <c r="KNC41" s="16"/>
      <c r="KND41" s="18"/>
      <c r="KNE41" s="13"/>
      <c r="KNF41" s="12"/>
      <c r="KNG41" s="18"/>
      <c r="KNH41" s="12"/>
      <c r="KNI41" s="19"/>
      <c r="KNJ41" s="16"/>
      <c r="KNK41" s="18"/>
      <c r="KNL41" s="13"/>
      <c r="KNM41" s="12"/>
      <c r="KNN41" s="18"/>
      <c r="KNO41" s="12"/>
      <c r="KNP41" s="19"/>
      <c r="KNQ41" s="16"/>
      <c r="KNR41" s="18"/>
      <c r="KNS41" s="13"/>
      <c r="KNT41" s="12"/>
      <c r="KNU41" s="18"/>
      <c r="KNV41" s="12"/>
      <c r="KNW41" s="19"/>
      <c r="KNX41" s="16"/>
      <c r="KNY41" s="18"/>
      <c r="KNZ41" s="13"/>
      <c r="KOA41" s="12"/>
      <c r="KOB41" s="18"/>
      <c r="KOC41" s="12"/>
      <c r="KOD41" s="19"/>
      <c r="KOE41" s="16"/>
      <c r="KOF41" s="18"/>
      <c r="KOG41" s="13"/>
      <c r="KOH41" s="12"/>
      <c r="KOI41" s="18"/>
      <c r="KOJ41" s="12"/>
      <c r="KOK41" s="19"/>
      <c r="KOL41" s="16"/>
      <c r="KOM41" s="18"/>
      <c r="KON41" s="13"/>
      <c r="KOO41" s="12"/>
      <c r="KOP41" s="18"/>
      <c r="KOQ41" s="12"/>
      <c r="KOR41" s="19"/>
      <c r="KOS41" s="16"/>
      <c r="KOT41" s="18"/>
      <c r="KOU41" s="13"/>
      <c r="KOV41" s="12"/>
      <c r="KOW41" s="18"/>
      <c r="KOX41" s="12"/>
      <c r="KOY41" s="19"/>
      <c r="KOZ41" s="16"/>
      <c r="KPA41" s="18"/>
      <c r="KPB41" s="13"/>
      <c r="KPC41" s="12"/>
      <c r="KPD41" s="18"/>
      <c r="KPE41" s="12"/>
      <c r="KPF41" s="19"/>
      <c r="KPG41" s="16"/>
      <c r="KPH41" s="18"/>
      <c r="KPI41" s="13"/>
      <c r="KPJ41" s="12"/>
      <c r="KPK41" s="18"/>
      <c r="KPL41" s="12"/>
      <c r="KPM41" s="19"/>
      <c r="KPN41" s="16"/>
      <c r="KPO41" s="18"/>
      <c r="KPP41" s="13"/>
      <c r="KPQ41" s="12"/>
      <c r="KPR41" s="18"/>
      <c r="KPS41" s="12"/>
      <c r="KPT41" s="19"/>
      <c r="KPU41" s="16"/>
      <c r="KPV41" s="18"/>
      <c r="KPW41" s="13"/>
      <c r="KPX41" s="12"/>
      <c r="KPY41" s="18"/>
      <c r="KPZ41" s="12"/>
      <c r="KQA41" s="19"/>
      <c r="KQB41" s="16"/>
      <c r="KQC41" s="18"/>
      <c r="KQD41" s="13"/>
      <c r="KQE41" s="12"/>
      <c r="KQF41" s="18"/>
      <c r="KQG41" s="12"/>
      <c r="KQH41" s="19"/>
      <c r="KQI41" s="16"/>
      <c r="KQJ41" s="18"/>
      <c r="KQK41" s="13"/>
      <c r="KQL41" s="12"/>
      <c r="KQM41" s="18"/>
      <c r="KQN41" s="12"/>
      <c r="KQO41" s="19"/>
      <c r="KQP41" s="16"/>
      <c r="KQQ41" s="18"/>
      <c r="KQR41" s="13"/>
      <c r="KQS41" s="12"/>
      <c r="KQT41" s="18"/>
      <c r="KQU41" s="12"/>
      <c r="KQV41" s="19"/>
      <c r="KQW41" s="16"/>
      <c r="KQX41" s="18"/>
      <c r="KQY41" s="13"/>
      <c r="KQZ41" s="12"/>
      <c r="KRA41" s="18"/>
      <c r="KRB41" s="12"/>
      <c r="KRC41" s="19"/>
      <c r="KRD41" s="16"/>
      <c r="KRE41" s="18"/>
      <c r="KRF41" s="13"/>
      <c r="KRG41" s="12"/>
      <c r="KRH41" s="18"/>
      <c r="KRI41" s="12"/>
      <c r="KRJ41" s="19"/>
      <c r="KRK41" s="16"/>
      <c r="KRL41" s="18"/>
      <c r="KRM41" s="13"/>
      <c r="KRN41" s="12"/>
      <c r="KRO41" s="18"/>
      <c r="KRP41" s="12"/>
      <c r="KRQ41" s="19"/>
      <c r="KRR41" s="16"/>
      <c r="KRS41" s="18"/>
      <c r="KRT41" s="13"/>
      <c r="KRU41" s="12"/>
      <c r="KRV41" s="18"/>
      <c r="KRW41" s="12"/>
      <c r="KRX41" s="19"/>
      <c r="KRY41" s="16"/>
      <c r="KRZ41" s="18"/>
      <c r="KSA41" s="13"/>
      <c r="KSB41" s="12"/>
      <c r="KSC41" s="18"/>
      <c r="KSD41" s="12"/>
      <c r="KSE41" s="19"/>
      <c r="KSF41" s="16"/>
      <c r="KSG41" s="18"/>
      <c r="KSH41" s="13"/>
      <c r="KSI41" s="12"/>
      <c r="KSJ41" s="18"/>
      <c r="KSK41" s="12"/>
      <c r="KSL41" s="19"/>
      <c r="KSM41" s="16"/>
      <c r="KSN41" s="18"/>
      <c r="KSO41" s="13"/>
      <c r="KSP41" s="12"/>
      <c r="KSQ41" s="18"/>
      <c r="KSR41" s="12"/>
      <c r="KSS41" s="19"/>
      <c r="KST41" s="16"/>
      <c r="KSU41" s="18"/>
      <c r="KSV41" s="13"/>
      <c r="KSW41" s="12"/>
      <c r="KSX41" s="18"/>
      <c r="KSY41" s="12"/>
      <c r="KSZ41" s="19"/>
      <c r="KTA41" s="16"/>
      <c r="KTB41" s="18"/>
      <c r="KTC41" s="13"/>
      <c r="KTD41" s="12"/>
      <c r="KTE41" s="18"/>
      <c r="KTF41" s="12"/>
      <c r="KTG41" s="19"/>
      <c r="KTH41" s="16"/>
      <c r="KTI41" s="18"/>
      <c r="KTJ41" s="13"/>
      <c r="KTK41" s="12"/>
      <c r="KTL41" s="18"/>
      <c r="KTM41" s="12"/>
      <c r="KTN41" s="19"/>
      <c r="KTO41" s="16"/>
      <c r="KTP41" s="18"/>
      <c r="KTQ41" s="13"/>
      <c r="KTR41" s="12"/>
      <c r="KTS41" s="18"/>
      <c r="KTT41" s="12"/>
      <c r="KTU41" s="19"/>
      <c r="KTV41" s="16"/>
      <c r="KTW41" s="18"/>
      <c r="KTX41" s="13"/>
      <c r="KTY41" s="12"/>
      <c r="KTZ41" s="18"/>
      <c r="KUA41" s="12"/>
      <c r="KUB41" s="19"/>
      <c r="KUC41" s="16"/>
      <c r="KUD41" s="18"/>
      <c r="KUE41" s="13"/>
      <c r="KUF41" s="12"/>
      <c r="KUG41" s="18"/>
      <c r="KUH41" s="12"/>
      <c r="KUI41" s="19"/>
      <c r="KUJ41" s="16"/>
      <c r="KUK41" s="18"/>
      <c r="KUL41" s="13"/>
      <c r="KUM41" s="12"/>
      <c r="KUN41" s="18"/>
      <c r="KUO41" s="12"/>
      <c r="KUP41" s="19"/>
      <c r="KUQ41" s="16"/>
      <c r="KUR41" s="18"/>
      <c r="KUS41" s="13"/>
      <c r="KUT41" s="12"/>
      <c r="KUU41" s="18"/>
      <c r="KUV41" s="12"/>
      <c r="KUW41" s="19"/>
      <c r="KUX41" s="16"/>
      <c r="KUY41" s="18"/>
      <c r="KUZ41" s="13"/>
      <c r="KVA41" s="12"/>
      <c r="KVB41" s="18"/>
      <c r="KVC41" s="12"/>
      <c r="KVD41" s="19"/>
      <c r="KVE41" s="16"/>
      <c r="KVF41" s="18"/>
      <c r="KVG41" s="13"/>
      <c r="KVH41" s="12"/>
      <c r="KVI41" s="18"/>
      <c r="KVJ41" s="12"/>
      <c r="KVK41" s="19"/>
      <c r="KVL41" s="16"/>
      <c r="KVM41" s="18"/>
      <c r="KVN41" s="13"/>
      <c r="KVO41" s="12"/>
      <c r="KVP41" s="18"/>
      <c r="KVQ41" s="12"/>
      <c r="KVR41" s="19"/>
      <c r="KVS41" s="16"/>
      <c r="KVT41" s="18"/>
      <c r="KVU41" s="13"/>
      <c r="KVV41" s="12"/>
      <c r="KVW41" s="18"/>
      <c r="KVX41" s="12"/>
      <c r="KVY41" s="19"/>
      <c r="KVZ41" s="16"/>
      <c r="KWA41" s="18"/>
      <c r="KWB41" s="13"/>
      <c r="KWC41" s="12"/>
      <c r="KWD41" s="18"/>
      <c r="KWE41" s="12"/>
      <c r="KWF41" s="19"/>
      <c r="KWG41" s="16"/>
      <c r="KWH41" s="18"/>
      <c r="KWI41" s="13"/>
      <c r="KWJ41" s="12"/>
      <c r="KWK41" s="18"/>
      <c r="KWL41" s="12"/>
      <c r="KWM41" s="19"/>
      <c r="KWN41" s="16"/>
      <c r="KWO41" s="18"/>
      <c r="KWP41" s="13"/>
      <c r="KWQ41" s="12"/>
      <c r="KWR41" s="18"/>
      <c r="KWS41" s="12"/>
      <c r="KWT41" s="19"/>
      <c r="KWU41" s="16"/>
      <c r="KWV41" s="18"/>
      <c r="KWW41" s="13"/>
      <c r="KWX41" s="12"/>
      <c r="KWY41" s="18"/>
      <c r="KWZ41" s="12"/>
      <c r="KXA41" s="19"/>
      <c r="KXB41" s="16"/>
      <c r="KXC41" s="18"/>
      <c r="KXD41" s="13"/>
      <c r="KXE41" s="12"/>
      <c r="KXF41" s="18"/>
      <c r="KXG41" s="12"/>
      <c r="KXH41" s="19"/>
      <c r="KXI41" s="16"/>
      <c r="KXJ41" s="18"/>
      <c r="KXK41" s="13"/>
      <c r="KXL41" s="12"/>
      <c r="KXM41" s="18"/>
      <c r="KXN41" s="12"/>
      <c r="KXO41" s="19"/>
      <c r="KXP41" s="16"/>
      <c r="KXQ41" s="18"/>
      <c r="KXR41" s="13"/>
      <c r="KXS41" s="12"/>
      <c r="KXT41" s="18"/>
      <c r="KXU41" s="12"/>
      <c r="KXV41" s="19"/>
      <c r="KXW41" s="16"/>
      <c r="KXX41" s="18"/>
      <c r="KXY41" s="13"/>
      <c r="KXZ41" s="12"/>
      <c r="KYA41" s="18"/>
      <c r="KYB41" s="12"/>
      <c r="KYC41" s="19"/>
      <c r="KYD41" s="16"/>
      <c r="KYE41" s="18"/>
      <c r="KYF41" s="13"/>
      <c r="KYG41" s="12"/>
      <c r="KYH41" s="18"/>
      <c r="KYI41" s="12"/>
      <c r="KYJ41" s="19"/>
      <c r="KYK41" s="16"/>
      <c r="KYL41" s="18"/>
      <c r="KYM41" s="13"/>
      <c r="KYN41" s="12"/>
      <c r="KYO41" s="18"/>
      <c r="KYP41" s="12"/>
      <c r="KYQ41" s="19"/>
      <c r="KYR41" s="16"/>
      <c r="KYS41" s="18"/>
      <c r="KYT41" s="13"/>
      <c r="KYU41" s="12"/>
      <c r="KYV41" s="18"/>
      <c r="KYW41" s="12"/>
      <c r="KYX41" s="19"/>
      <c r="KYY41" s="16"/>
      <c r="KYZ41" s="18"/>
      <c r="KZA41" s="13"/>
      <c r="KZB41" s="12"/>
      <c r="KZC41" s="18"/>
      <c r="KZD41" s="12"/>
      <c r="KZE41" s="19"/>
      <c r="KZF41" s="16"/>
      <c r="KZG41" s="18"/>
      <c r="KZH41" s="13"/>
      <c r="KZI41" s="12"/>
      <c r="KZJ41" s="18"/>
      <c r="KZK41" s="12"/>
      <c r="KZL41" s="19"/>
      <c r="KZM41" s="16"/>
      <c r="KZN41" s="18"/>
      <c r="KZO41" s="13"/>
      <c r="KZP41" s="12"/>
      <c r="KZQ41" s="18"/>
      <c r="KZR41" s="12"/>
      <c r="KZS41" s="19"/>
      <c r="KZT41" s="16"/>
      <c r="KZU41" s="18"/>
      <c r="KZV41" s="13"/>
      <c r="KZW41" s="12"/>
      <c r="KZX41" s="18"/>
      <c r="KZY41" s="12"/>
      <c r="KZZ41" s="19"/>
      <c r="LAA41" s="16"/>
      <c r="LAB41" s="18"/>
      <c r="LAC41" s="13"/>
      <c r="LAD41" s="12"/>
      <c r="LAE41" s="18"/>
      <c r="LAF41" s="12"/>
      <c r="LAG41" s="19"/>
      <c r="LAH41" s="16"/>
      <c r="LAI41" s="18"/>
      <c r="LAJ41" s="13"/>
      <c r="LAK41" s="12"/>
      <c r="LAL41" s="18"/>
      <c r="LAM41" s="12"/>
      <c r="LAN41" s="19"/>
      <c r="LAO41" s="16"/>
      <c r="LAP41" s="18"/>
      <c r="LAQ41" s="13"/>
      <c r="LAR41" s="12"/>
      <c r="LAS41" s="18"/>
      <c r="LAT41" s="12"/>
      <c r="LAU41" s="19"/>
      <c r="LAV41" s="16"/>
      <c r="LAW41" s="18"/>
      <c r="LAX41" s="13"/>
      <c r="LAY41" s="12"/>
      <c r="LAZ41" s="18"/>
      <c r="LBA41" s="12"/>
      <c r="LBB41" s="19"/>
      <c r="LBC41" s="16"/>
      <c r="LBD41" s="18"/>
      <c r="LBE41" s="13"/>
      <c r="LBF41" s="12"/>
      <c r="LBG41" s="18"/>
      <c r="LBH41" s="12"/>
      <c r="LBI41" s="19"/>
      <c r="LBJ41" s="16"/>
      <c r="LBK41" s="18"/>
      <c r="LBL41" s="13"/>
      <c r="LBM41" s="12"/>
      <c r="LBN41" s="18"/>
      <c r="LBO41" s="12"/>
      <c r="LBP41" s="19"/>
      <c r="LBQ41" s="16"/>
      <c r="LBR41" s="18"/>
      <c r="LBS41" s="13"/>
      <c r="LBT41" s="12"/>
      <c r="LBU41" s="18"/>
      <c r="LBV41" s="12"/>
      <c r="LBW41" s="19"/>
      <c r="LBX41" s="16"/>
      <c r="LBY41" s="18"/>
      <c r="LBZ41" s="13"/>
      <c r="LCA41" s="12"/>
      <c r="LCB41" s="18"/>
      <c r="LCC41" s="12"/>
      <c r="LCD41" s="19"/>
      <c r="LCE41" s="16"/>
      <c r="LCF41" s="18"/>
      <c r="LCG41" s="13"/>
      <c r="LCH41" s="12"/>
      <c r="LCI41" s="18"/>
      <c r="LCJ41" s="12"/>
      <c r="LCK41" s="19"/>
      <c r="LCL41" s="16"/>
      <c r="LCM41" s="18"/>
      <c r="LCN41" s="13"/>
      <c r="LCO41" s="12"/>
      <c r="LCP41" s="18"/>
      <c r="LCQ41" s="12"/>
      <c r="LCR41" s="19"/>
      <c r="LCS41" s="16"/>
      <c r="LCT41" s="18"/>
      <c r="LCU41" s="13"/>
      <c r="LCV41" s="12"/>
      <c r="LCW41" s="18"/>
      <c r="LCX41" s="12"/>
      <c r="LCY41" s="19"/>
      <c r="LCZ41" s="16"/>
      <c r="LDA41" s="18"/>
      <c r="LDB41" s="13"/>
      <c r="LDC41" s="12"/>
      <c r="LDD41" s="18"/>
      <c r="LDE41" s="12"/>
      <c r="LDF41" s="19"/>
      <c r="LDG41" s="16"/>
      <c r="LDH41" s="18"/>
      <c r="LDI41" s="13"/>
      <c r="LDJ41" s="12"/>
      <c r="LDK41" s="18"/>
      <c r="LDL41" s="12"/>
      <c r="LDM41" s="19"/>
      <c r="LDN41" s="16"/>
      <c r="LDO41" s="18"/>
      <c r="LDP41" s="13"/>
      <c r="LDQ41" s="12"/>
      <c r="LDR41" s="18"/>
      <c r="LDS41" s="12"/>
      <c r="LDT41" s="19"/>
      <c r="LDU41" s="16"/>
      <c r="LDV41" s="18"/>
      <c r="LDW41" s="13"/>
      <c r="LDX41" s="12"/>
      <c r="LDY41" s="18"/>
      <c r="LDZ41" s="12"/>
      <c r="LEA41" s="19"/>
      <c r="LEB41" s="16"/>
      <c r="LEC41" s="18"/>
      <c r="LED41" s="13"/>
      <c r="LEE41" s="12"/>
      <c r="LEF41" s="18"/>
      <c r="LEG41" s="12"/>
      <c r="LEH41" s="19"/>
      <c r="LEI41" s="16"/>
      <c r="LEJ41" s="18"/>
      <c r="LEK41" s="13"/>
      <c r="LEL41" s="12"/>
      <c r="LEM41" s="18"/>
      <c r="LEN41" s="12"/>
      <c r="LEO41" s="19"/>
      <c r="LEP41" s="16"/>
      <c r="LEQ41" s="18"/>
      <c r="LER41" s="13"/>
      <c r="LES41" s="12"/>
      <c r="LET41" s="18"/>
      <c r="LEU41" s="12"/>
      <c r="LEV41" s="19"/>
      <c r="LEW41" s="16"/>
      <c r="LEX41" s="18"/>
      <c r="LEY41" s="13"/>
      <c r="LEZ41" s="12"/>
      <c r="LFA41" s="18"/>
      <c r="LFB41" s="12"/>
      <c r="LFC41" s="19"/>
      <c r="LFD41" s="16"/>
      <c r="LFE41" s="18"/>
      <c r="LFF41" s="13"/>
      <c r="LFG41" s="12"/>
      <c r="LFH41" s="18"/>
      <c r="LFI41" s="12"/>
      <c r="LFJ41" s="19"/>
      <c r="LFK41" s="16"/>
      <c r="LFL41" s="18"/>
      <c r="LFM41" s="13"/>
      <c r="LFN41" s="12"/>
      <c r="LFO41" s="18"/>
      <c r="LFP41" s="12"/>
      <c r="LFQ41" s="19"/>
      <c r="LFR41" s="16"/>
      <c r="LFS41" s="18"/>
      <c r="LFT41" s="13"/>
      <c r="LFU41" s="12"/>
      <c r="LFV41" s="18"/>
      <c r="LFW41" s="12"/>
      <c r="LFX41" s="19"/>
      <c r="LFY41" s="16"/>
      <c r="LFZ41" s="18"/>
      <c r="LGA41" s="13"/>
      <c r="LGB41" s="12"/>
      <c r="LGC41" s="18"/>
      <c r="LGD41" s="12"/>
      <c r="LGE41" s="19"/>
      <c r="LGF41" s="16"/>
      <c r="LGG41" s="18"/>
      <c r="LGH41" s="13"/>
      <c r="LGI41" s="12"/>
      <c r="LGJ41" s="18"/>
      <c r="LGK41" s="12"/>
      <c r="LGL41" s="19"/>
      <c r="LGM41" s="16"/>
      <c r="LGN41" s="18"/>
      <c r="LGO41" s="13"/>
      <c r="LGP41" s="12"/>
      <c r="LGQ41" s="18"/>
      <c r="LGR41" s="12"/>
      <c r="LGS41" s="19"/>
      <c r="LGT41" s="16"/>
      <c r="LGU41" s="18"/>
      <c r="LGV41" s="13"/>
      <c r="LGW41" s="12"/>
      <c r="LGX41" s="18"/>
      <c r="LGY41" s="12"/>
      <c r="LGZ41" s="19"/>
      <c r="LHA41" s="16"/>
      <c r="LHB41" s="18"/>
      <c r="LHC41" s="13"/>
      <c r="LHD41" s="12"/>
      <c r="LHE41" s="18"/>
      <c r="LHF41" s="12"/>
      <c r="LHG41" s="19"/>
      <c r="LHH41" s="16"/>
      <c r="LHI41" s="18"/>
      <c r="LHJ41" s="13"/>
      <c r="LHK41" s="12"/>
      <c r="LHL41" s="18"/>
      <c r="LHM41" s="12"/>
      <c r="LHN41" s="19"/>
      <c r="LHO41" s="16"/>
      <c r="LHP41" s="18"/>
      <c r="LHQ41" s="13"/>
      <c r="LHR41" s="12"/>
      <c r="LHS41" s="18"/>
      <c r="LHT41" s="12"/>
      <c r="LHU41" s="19"/>
      <c r="LHV41" s="16"/>
      <c r="LHW41" s="18"/>
      <c r="LHX41" s="13"/>
      <c r="LHY41" s="12"/>
      <c r="LHZ41" s="18"/>
      <c r="LIA41" s="12"/>
      <c r="LIB41" s="19"/>
      <c r="LIC41" s="16"/>
      <c r="LID41" s="18"/>
      <c r="LIE41" s="13"/>
      <c r="LIF41" s="12"/>
      <c r="LIG41" s="18"/>
      <c r="LIH41" s="12"/>
      <c r="LII41" s="19"/>
      <c r="LIJ41" s="16"/>
      <c r="LIK41" s="18"/>
      <c r="LIL41" s="13"/>
      <c r="LIM41" s="12"/>
      <c r="LIN41" s="18"/>
      <c r="LIO41" s="12"/>
      <c r="LIP41" s="19"/>
      <c r="LIQ41" s="16"/>
      <c r="LIR41" s="18"/>
      <c r="LIS41" s="13"/>
      <c r="LIT41" s="12"/>
      <c r="LIU41" s="18"/>
      <c r="LIV41" s="12"/>
      <c r="LIW41" s="19"/>
      <c r="LIX41" s="16"/>
      <c r="LIY41" s="18"/>
      <c r="LIZ41" s="13"/>
      <c r="LJA41" s="12"/>
      <c r="LJB41" s="18"/>
      <c r="LJC41" s="12"/>
      <c r="LJD41" s="19"/>
      <c r="LJE41" s="16"/>
      <c r="LJF41" s="18"/>
      <c r="LJG41" s="13"/>
      <c r="LJH41" s="12"/>
      <c r="LJI41" s="18"/>
      <c r="LJJ41" s="12"/>
      <c r="LJK41" s="19"/>
      <c r="LJL41" s="16"/>
      <c r="LJM41" s="18"/>
      <c r="LJN41" s="13"/>
      <c r="LJO41" s="12"/>
      <c r="LJP41" s="18"/>
      <c r="LJQ41" s="12"/>
      <c r="LJR41" s="19"/>
      <c r="LJS41" s="16"/>
      <c r="LJT41" s="18"/>
      <c r="LJU41" s="13"/>
      <c r="LJV41" s="12"/>
      <c r="LJW41" s="18"/>
      <c r="LJX41" s="12"/>
      <c r="LJY41" s="19"/>
      <c r="LJZ41" s="16"/>
      <c r="LKA41" s="18"/>
      <c r="LKB41" s="13"/>
      <c r="LKC41" s="12"/>
      <c r="LKD41" s="18"/>
      <c r="LKE41" s="12"/>
      <c r="LKF41" s="19"/>
      <c r="LKG41" s="16"/>
      <c r="LKH41" s="18"/>
      <c r="LKI41" s="13"/>
      <c r="LKJ41" s="12"/>
      <c r="LKK41" s="18"/>
      <c r="LKL41" s="12"/>
      <c r="LKM41" s="19"/>
      <c r="LKN41" s="16"/>
      <c r="LKO41" s="18"/>
      <c r="LKP41" s="13"/>
      <c r="LKQ41" s="12"/>
      <c r="LKR41" s="18"/>
      <c r="LKS41" s="12"/>
      <c r="LKT41" s="19"/>
      <c r="LKU41" s="16"/>
      <c r="LKV41" s="18"/>
      <c r="LKW41" s="13"/>
      <c r="LKX41" s="12"/>
      <c r="LKY41" s="18"/>
      <c r="LKZ41" s="12"/>
      <c r="LLA41" s="19"/>
      <c r="LLB41" s="16"/>
      <c r="LLC41" s="18"/>
      <c r="LLD41" s="13"/>
      <c r="LLE41" s="12"/>
      <c r="LLF41" s="18"/>
      <c r="LLG41" s="12"/>
      <c r="LLH41" s="19"/>
      <c r="LLI41" s="16"/>
      <c r="LLJ41" s="18"/>
      <c r="LLK41" s="13"/>
      <c r="LLL41" s="12"/>
      <c r="LLM41" s="18"/>
      <c r="LLN41" s="12"/>
      <c r="LLO41" s="19"/>
      <c r="LLP41" s="16"/>
      <c r="LLQ41" s="18"/>
      <c r="LLR41" s="13"/>
      <c r="LLS41" s="12"/>
      <c r="LLT41" s="18"/>
      <c r="LLU41" s="12"/>
      <c r="LLV41" s="19"/>
      <c r="LLW41" s="16"/>
      <c r="LLX41" s="18"/>
      <c r="LLY41" s="13"/>
      <c r="LLZ41" s="12"/>
      <c r="LMA41" s="18"/>
      <c r="LMB41" s="12"/>
      <c r="LMC41" s="19"/>
      <c r="LMD41" s="16"/>
      <c r="LME41" s="18"/>
      <c r="LMF41" s="13"/>
      <c r="LMG41" s="12"/>
      <c r="LMH41" s="18"/>
      <c r="LMI41" s="12"/>
      <c r="LMJ41" s="19"/>
      <c r="LMK41" s="16"/>
      <c r="LML41" s="18"/>
      <c r="LMM41" s="13"/>
      <c r="LMN41" s="12"/>
      <c r="LMO41" s="18"/>
      <c r="LMP41" s="12"/>
      <c r="LMQ41" s="19"/>
      <c r="LMR41" s="16"/>
      <c r="LMS41" s="18"/>
      <c r="LMT41" s="13"/>
      <c r="LMU41" s="12"/>
      <c r="LMV41" s="18"/>
      <c r="LMW41" s="12"/>
      <c r="LMX41" s="19"/>
      <c r="LMY41" s="16"/>
      <c r="LMZ41" s="18"/>
      <c r="LNA41" s="13"/>
      <c r="LNB41" s="12"/>
      <c r="LNC41" s="18"/>
      <c r="LND41" s="12"/>
      <c r="LNE41" s="19"/>
      <c r="LNF41" s="16"/>
      <c r="LNG41" s="18"/>
      <c r="LNH41" s="13"/>
      <c r="LNI41" s="12"/>
      <c r="LNJ41" s="18"/>
      <c r="LNK41" s="12"/>
      <c r="LNL41" s="19"/>
      <c r="LNM41" s="16"/>
      <c r="LNN41" s="18"/>
      <c r="LNO41" s="13"/>
      <c r="LNP41" s="12"/>
      <c r="LNQ41" s="18"/>
      <c r="LNR41" s="12"/>
      <c r="LNS41" s="19"/>
      <c r="LNT41" s="16"/>
      <c r="LNU41" s="18"/>
      <c r="LNV41" s="13"/>
      <c r="LNW41" s="12"/>
      <c r="LNX41" s="18"/>
      <c r="LNY41" s="12"/>
      <c r="LNZ41" s="19"/>
      <c r="LOA41" s="16"/>
      <c r="LOB41" s="18"/>
      <c r="LOC41" s="13"/>
      <c r="LOD41" s="12"/>
      <c r="LOE41" s="18"/>
      <c r="LOF41" s="12"/>
      <c r="LOG41" s="19"/>
      <c r="LOH41" s="16"/>
      <c r="LOI41" s="18"/>
      <c r="LOJ41" s="13"/>
      <c r="LOK41" s="12"/>
      <c r="LOL41" s="18"/>
      <c r="LOM41" s="12"/>
      <c r="LON41" s="19"/>
      <c r="LOO41" s="16"/>
      <c r="LOP41" s="18"/>
      <c r="LOQ41" s="13"/>
      <c r="LOR41" s="12"/>
      <c r="LOS41" s="18"/>
      <c r="LOT41" s="12"/>
      <c r="LOU41" s="19"/>
      <c r="LOV41" s="16"/>
      <c r="LOW41" s="18"/>
      <c r="LOX41" s="13"/>
      <c r="LOY41" s="12"/>
      <c r="LOZ41" s="18"/>
      <c r="LPA41" s="12"/>
      <c r="LPB41" s="19"/>
      <c r="LPC41" s="16"/>
      <c r="LPD41" s="18"/>
      <c r="LPE41" s="13"/>
      <c r="LPF41" s="12"/>
      <c r="LPG41" s="18"/>
      <c r="LPH41" s="12"/>
      <c r="LPI41" s="19"/>
      <c r="LPJ41" s="16"/>
      <c r="LPK41" s="18"/>
      <c r="LPL41" s="13"/>
      <c r="LPM41" s="12"/>
      <c r="LPN41" s="18"/>
      <c r="LPO41" s="12"/>
      <c r="LPP41" s="19"/>
      <c r="LPQ41" s="16"/>
      <c r="LPR41" s="18"/>
      <c r="LPS41" s="13"/>
      <c r="LPT41" s="12"/>
      <c r="LPU41" s="18"/>
      <c r="LPV41" s="12"/>
      <c r="LPW41" s="19"/>
      <c r="LPX41" s="16"/>
      <c r="LPY41" s="18"/>
      <c r="LPZ41" s="13"/>
      <c r="LQA41" s="12"/>
      <c r="LQB41" s="18"/>
      <c r="LQC41" s="12"/>
      <c r="LQD41" s="19"/>
      <c r="LQE41" s="16"/>
      <c r="LQF41" s="18"/>
      <c r="LQG41" s="13"/>
      <c r="LQH41" s="12"/>
      <c r="LQI41" s="18"/>
      <c r="LQJ41" s="12"/>
      <c r="LQK41" s="19"/>
      <c r="LQL41" s="16"/>
      <c r="LQM41" s="18"/>
      <c r="LQN41" s="13"/>
      <c r="LQO41" s="12"/>
      <c r="LQP41" s="18"/>
      <c r="LQQ41" s="12"/>
      <c r="LQR41" s="19"/>
      <c r="LQS41" s="16"/>
      <c r="LQT41" s="18"/>
      <c r="LQU41" s="13"/>
      <c r="LQV41" s="12"/>
      <c r="LQW41" s="18"/>
      <c r="LQX41" s="12"/>
      <c r="LQY41" s="19"/>
      <c r="LQZ41" s="16"/>
      <c r="LRA41" s="18"/>
      <c r="LRB41" s="13"/>
      <c r="LRC41" s="12"/>
      <c r="LRD41" s="18"/>
      <c r="LRE41" s="12"/>
      <c r="LRF41" s="19"/>
      <c r="LRG41" s="16"/>
      <c r="LRH41" s="18"/>
      <c r="LRI41" s="13"/>
      <c r="LRJ41" s="12"/>
      <c r="LRK41" s="18"/>
      <c r="LRL41" s="12"/>
      <c r="LRM41" s="19"/>
      <c r="LRN41" s="16"/>
      <c r="LRO41" s="18"/>
      <c r="LRP41" s="13"/>
      <c r="LRQ41" s="12"/>
      <c r="LRR41" s="18"/>
      <c r="LRS41" s="12"/>
      <c r="LRT41" s="19"/>
      <c r="LRU41" s="16"/>
      <c r="LRV41" s="18"/>
      <c r="LRW41" s="13"/>
      <c r="LRX41" s="12"/>
      <c r="LRY41" s="18"/>
      <c r="LRZ41" s="12"/>
      <c r="LSA41" s="19"/>
      <c r="LSB41" s="16"/>
      <c r="LSC41" s="18"/>
      <c r="LSD41" s="13"/>
      <c r="LSE41" s="12"/>
      <c r="LSF41" s="18"/>
      <c r="LSG41" s="12"/>
      <c r="LSH41" s="19"/>
      <c r="LSI41" s="16"/>
      <c r="LSJ41" s="18"/>
      <c r="LSK41" s="13"/>
      <c r="LSL41" s="12"/>
      <c r="LSM41" s="18"/>
      <c r="LSN41" s="12"/>
      <c r="LSO41" s="19"/>
      <c r="LSP41" s="16"/>
      <c r="LSQ41" s="18"/>
      <c r="LSR41" s="13"/>
      <c r="LSS41" s="12"/>
      <c r="LST41" s="18"/>
      <c r="LSU41" s="12"/>
      <c r="LSV41" s="19"/>
      <c r="LSW41" s="16"/>
      <c r="LSX41" s="18"/>
      <c r="LSY41" s="13"/>
      <c r="LSZ41" s="12"/>
      <c r="LTA41" s="18"/>
      <c r="LTB41" s="12"/>
      <c r="LTC41" s="19"/>
      <c r="LTD41" s="16"/>
      <c r="LTE41" s="18"/>
      <c r="LTF41" s="13"/>
      <c r="LTG41" s="12"/>
      <c r="LTH41" s="18"/>
      <c r="LTI41" s="12"/>
      <c r="LTJ41" s="19"/>
      <c r="LTK41" s="16"/>
      <c r="LTL41" s="18"/>
      <c r="LTM41" s="13"/>
      <c r="LTN41" s="12"/>
      <c r="LTO41" s="18"/>
      <c r="LTP41" s="12"/>
      <c r="LTQ41" s="19"/>
      <c r="LTR41" s="16"/>
      <c r="LTS41" s="18"/>
      <c r="LTT41" s="13"/>
      <c r="LTU41" s="12"/>
      <c r="LTV41" s="18"/>
      <c r="LTW41" s="12"/>
      <c r="LTX41" s="19"/>
      <c r="LTY41" s="16"/>
      <c r="LTZ41" s="18"/>
      <c r="LUA41" s="13"/>
      <c r="LUB41" s="12"/>
      <c r="LUC41" s="18"/>
      <c r="LUD41" s="12"/>
      <c r="LUE41" s="19"/>
      <c r="LUF41" s="16"/>
      <c r="LUG41" s="18"/>
      <c r="LUH41" s="13"/>
      <c r="LUI41" s="12"/>
      <c r="LUJ41" s="18"/>
      <c r="LUK41" s="12"/>
      <c r="LUL41" s="19"/>
      <c r="LUM41" s="16"/>
      <c r="LUN41" s="18"/>
      <c r="LUO41" s="13"/>
      <c r="LUP41" s="12"/>
      <c r="LUQ41" s="18"/>
      <c r="LUR41" s="12"/>
      <c r="LUS41" s="19"/>
      <c r="LUT41" s="16"/>
      <c r="LUU41" s="18"/>
      <c r="LUV41" s="13"/>
      <c r="LUW41" s="12"/>
      <c r="LUX41" s="18"/>
      <c r="LUY41" s="12"/>
      <c r="LUZ41" s="19"/>
      <c r="LVA41" s="16"/>
      <c r="LVB41" s="18"/>
      <c r="LVC41" s="13"/>
      <c r="LVD41" s="12"/>
      <c r="LVE41" s="18"/>
      <c r="LVF41" s="12"/>
      <c r="LVG41" s="19"/>
      <c r="LVH41" s="16"/>
      <c r="LVI41" s="18"/>
      <c r="LVJ41" s="13"/>
      <c r="LVK41" s="12"/>
      <c r="LVL41" s="18"/>
      <c r="LVM41" s="12"/>
      <c r="LVN41" s="19"/>
      <c r="LVO41" s="16"/>
      <c r="LVP41" s="18"/>
      <c r="LVQ41" s="13"/>
      <c r="LVR41" s="12"/>
      <c r="LVS41" s="18"/>
      <c r="LVT41" s="12"/>
      <c r="LVU41" s="19"/>
      <c r="LVV41" s="16"/>
      <c r="LVW41" s="18"/>
      <c r="LVX41" s="13"/>
      <c r="LVY41" s="12"/>
      <c r="LVZ41" s="18"/>
      <c r="LWA41" s="12"/>
      <c r="LWB41" s="19"/>
      <c r="LWC41" s="16"/>
      <c r="LWD41" s="18"/>
      <c r="LWE41" s="13"/>
      <c r="LWF41" s="12"/>
      <c r="LWG41" s="18"/>
      <c r="LWH41" s="12"/>
      <c r="LWI41" s="19"/>
      <c r="LWJ41" s="16"/>
      <c r="LWK41" s="18"/>
      <c r="LWL41" s="13"/>
      <c r="LWM41" s="12"/>
      <c r="LWN41" s="18"/>
      <c r="LWO41" s="12"/>
      <c r="LWP41" s="19"/>
      <c r="LWQ41" s="16"/>
      <c r="LWR41" s="18"/>
      <c r="LWS41" s="13"/>
      <c r="LWT41" s="12"/>
      <c r="LWU41" s="18"/>
      <c r="LWV41" s="12"/>
      <c r="LWW41" s="19"/>
      <c r="LWX41" s="16"/>
      <c r="LWY41" s="18"/>
      <c r="LWZ41" s="13"/>
      <c r="LXA41" s="12"/>
      <c r="LXB41" s="18"/>
      <c r="LXC41" s="12"/>
      <c r="LXD41" s="19"/>
      <c r="LXE41" s="16"/>
      <c r="LXF41" s="18"/>
      <c r="LXG41" s="13"/>
      <c r="LXH41" s="12"/>
      <c r="LXI41" s="18"/>
      <c r="LXJ41" s="12"/>
      <c r="LXK41" s="19"/>
      <c r="LXL41" s="16"/>
      <c r="LXM41" s="18"/>
      <c r="LXN41" s="13"/>
      <c r="LXO41" s="12"/>
      <c r="LXP41" s="18"/>
      <c r="LXQ41" s="12"/>
      <c r="LXR41" s="19"/>
      <c r="LXS41" s="16"/>
      <c r="LXT41" s="18"/>
      <c r="LXU41" s="13"/>
      <c r="LXV41" s="12"/>
      <c r="LXW41" s="18"/>
      <c r="LXX41" s="12"/>
      <c r="LXY41" s="19"/>
      <c r="LXZ41" s="16"/>
      <c r="LYA41" s="18"/>
      <c r="LYB41" s="13"/>
      <c r="LYC41" s="12"/>
      <c r="LYD41" s="18"/>
      <c r="LYE41" s="12"/>
      <c r="LYF41" s="19"/>
      <c r="LYG41" s="16"/>
      <c r="LYH41" s="18"/>
      <c r="LYI41" s="13"/>
      <c r="LYJ41" s="12"/>
      <c r="LYK41" s="18"/>
      <c r="LYL41" s="12"/>
      <c r="LYM41" s="19"/>
      <c r="LYN41" s="16"/>
      <c r="LYO41" s="18"/>
      <c r="LYP41" s="13"/>
      <c r="LYQ41" s="12"/>
      <c r="LYR41" s="18"/>
      <c r="LYS41" s="12"/>
      <c r="LYT41" s="19"/>
      <c r="LYU41" s="16"/>
      <c r="LYV41" s="18"/>
      <c r="LYW41" s="13"/>
      <c r="LYX41" s="12"/>
      <c r="LYY41" s="18"/>
      <c r="LYZ41" s="12"/>
      <c r="LZA41" s="19"/>
      <c r="LZB41" s="16"/>
      <c r="LZC41" s="18"/>
      <c r="LZD41" s="13"/>
      <c r="LZE41" s="12"/>
      <c r="LZF41" s="18"/>
      <c r="LZG41" s="12"/>
      <c r="LZH41" s="19"/>
      <c r="LZI41" s="16"/>
      <c r="LZJ41" s="18"/>
      <c r="LZK41" s="13"/>
      <c r="LZL41" s="12"/>
      <c r="LZM41" s="18"/>
      <c r="LZN41" s="12"/>
      <c r="LZO41" s="19"/>
      <c r="LZP41" s="16"/>
      <c r="LZQ41" s="18"/>
      <c r="LZR41" s="13"/>
      <c r="LZS41" s="12"/>
      <c r="LZT41" s="18"/>
      <c r="LZU41" s="12"/>
      <c r="LZV41" s="19"/>
      <c r="LZW41" s="16"/>
      <c r="LZX41" s="18"/>
      <c r="LZY41" s="13"/>
      <c r="LZZ41" s="12"/>
      <c r="MAA41" s="18"/>
      <c r="MAB41" s="12"/>
      <c r="MAC41" s="19"/>
      <c r="MAD41" s="16"/>
      <c r="MAE41" s="18"/>
      <c r="MAF41" s="13"/>
      <c r="MAG41" s="12"/>
      <c r="MAH41" s="18"/>
      <c r="MAI41" s="12"/>
      <c r="MAJ41" s="19"/>
      <c r="MAK41" s="16"/>
      <c r="MAL41" s="18"/>
      <c r="MAM41" s="13"/>
      <c r="MAN41" s="12"/>
      <c r="MAO41" s="18"/>
      <c r="MAP41" s="12"/>
      <c r="MAQ41" s="19"/>
      <c r="MAR41" s="16"/>
      <c r="MAS41" s="18"/>
      <c r="MAT41" s="13"/>
      <c r="MAU41" s="12"/>
      <c r="MAV41" s="18"/>
      <c r="MAW41" s="12"/>
      <c r="MAX41" s="19"/>
      <c r="MAY41" s="16"/>
      <c r="MAZ41" s="18"/>
      <c r="MBA41" s="13"/>
      <c r="MBB41" s="12"/>
      <c r="MBC41" s="18"/>
      <c r="MBD41" s="12"/>
      <c r="MBE41" s="19"/>
      <c r="MBF41" s="16"/>
      <c r="MBG41" s="18"/>
      <c r="MBH41" s="13"/>
      <c r="MBI41" s="12"/>
      <c r="MBJ41" s="18"/>
      <c r="MBK41" s="12"/>
      <c r="MBL41" s="19"/>
      <c r="MBM41" s="16"/>
      <c r="MBN41" s="18"/>
      <c r="MBO41" s="13"/>
      <c r="MBP41" s="12"/>
      <c r="MBQ41" s="18"/>
      <c r="MBR41" s="12"/>
      <c r="MBS41" s="19"/>
      <c r="MBT41" s="16"/>
      <c r="MBU41" s="18"/>
      <c r="MBV41" s="13"/>
      <c r="MBW41" s="12"/>
      <c r="MBX41" s="18"/>
      <c r="MBY41" s="12"/>
      <c r="MBZ41" s="19"/>
      <c r="MCA41" s="16"/>
      <c r="MCB41" s="18"/>
      <c r="MCC41" s="13"/>
      <c r="MCD41" s="12"/>
      <c r="MCE41" s="18"/>
      <c r="MCF41" s="12"/>
      <c r="MCG41" s="19"/>
      <c r="MCH41" s="16"/>
      <c r="MCI41" s="18"/>
      <c r="MCJ41" s="13"/>
      <c r="MCK41" s="12"/>
      <c r="MCL41" s="18"/>
      <c r="MCM41" s="12"/>
      <c r="MCN41" s="19"/>
      <c r="MCO41" s="16"/>
      <c r="MCP41" s="18"/>
      <c r="MCQ41" s="13"/>
      <c r="MCR41" s="12"/>
      <c r="MCS41" s="18"/>
      <c r="MCT41" s="12"/>
      <c r="MCU41" s="19"/>
      <c r="MCV41" s="16"/>
      <c r="MCW41" s="18"/>
      <c r="MCX41" s="13"/>
      <c r="MCY41" s="12"/>
      <c r="MCZ41" s="18"/>
      <c r="MDA41" s="12"/>
      <c r="MDB41" s="19"/>
      <c r="MDC41" s="16"/>
      <c r="MDD41" s="18"/>
      <c r="MDE41" s="13"/>
      <c r="MDF41" s="12"/>
      <c r="MDG41" s="18"/>
      <c r="MDH41" s="12"/>
      <c r="MDI41" s="19"/>
      <c r="MDJ41" s="16"/>
      <c r="MDK41" s="18"/>
      <c r="MDL41" s="13"/>
      <c r="MDM41" s="12"/>
      <c r="MDN41" s="18"/>
      <c r="MDO41" s="12"/>
      <c r="MDP41" s="19"/>
      <c r="MDQ41" s="16"/>
      <c r="MDR41" s="18"/>
      <c r="MDS41" s="13"/>
      <c r="MDT41" s="12"/>
      <c r="MDU41" s="18"/>
      <c r="MDV41" s="12"/>
      <c r="MDW41" s="19"/>
      <c r="MDX41" s="16"/>
      <c r="MDY41" s="18"/>
      <c r="MDZ41" s="13"/>
      <c r="MEA41" s="12"/>
      <c r="MEB41" s="18"/>
      <c r="MEC41" s="12"/>
      <c r="MED41" s="19"/>
      <c r="MEE41" s="16"/>
      <c r="MEF41" s="18"/>
      <c r="MEG41" s="13"/>
      <c r="MEH41" s="12"/>
      <c r="MEI41" s="18"/>
      <c r="MEJ41" s="12"/>
      <c r="MEK41" s="19"/>
      <c r="MEL41" s="16"/>
      <c r="MEM41" s="18"/>
      <c r="MEN41" s="13"/>
      <c r="MEO41" s="12"/>
      <c r="MEP41" s="18"/>
      <c r="MEQ41" s="12"/>
      <c r="MER41" s="19"/>
      <c r="MES41" s="16"/>
      <c r="MET41" s="18"/>
      <c r="MEU41" s="13"/>
      <c r="MEV41" s="12"/>
      <c r="MEW41" s="18"/>
      <c r="MEX41" s="12"/>
      <c r="MEY41" s="19"/>
      <c r="MEZ41" s="16"/>
      <c r="MFA41" s="18"/>
      <c r="MFB41" s="13"/>
      <c r="MFC41" s="12"/>
      <c r="MFD41" s="18"/>
      <c r="MFE41" s="12"/>
      <c r="MFF41" s="19"/>
      <c r="MFG41" s="16"/>
      <c r="MFH41" s="18"/>
      <c r="MFI41" s="13"/>
      <c r="MFJ41" s="12"/>
      <c r="MFK41" s="18"/>
      <c r="MFL41" s="12"/>
      <c r="MFM41" s="19"/>
      <c r="MFN41" s="16"/>
      <c r="MFO41" s="18"/>
      <c r="MFP41" s="13"/>
      <c r="MFQ41" s="12"/>
      <c r="MFR41" s="18"/>
      <c r="MFS41" s="12"/>
      <c r="MFT41" s="19"/>
      <c r="MFU41" s="16"/>
      <c r="MFV41" s="18"/>
      <c r="MFW41" s="13"/>
      <c r="MFX41" s="12"/>
      <c r="MFY41" s="18"/>
      <c r="MFZ41" s="12"/>
      <c r="MGA41" s="19"/>
      <c r="MGB41" s="16"/>
      <c r="MGC41" s="18"/>
      <c r="MGD41" s="13"/>
      <c r="MGE41" s="12"/>
      <c r="MGF41" s="18"/>
      <c r="MGG41" s="12"/>
      <c r="MGH41" s="19"/>
      <c r="MGI41" s="16"/>
      <c r="MGJ41" s="18"/>
      <c r="MGK41" s="13"/>
      <c r="MGL41" s="12"/>
      <c r="MGM41" s="18"/>
      <c r="MGN41" s="12"/>
      <c r="MGO41" s="19"/>
      <c r="MGP41" s="16"/>
      <c r="MGQ41" s="18"/>
      <c r="MGR41" s="13"/>
      <c r="MGS41" s="12"/>
      <c r="MGT41" s="18"/>
      <c r="MGU41" s="12"/>
      <c r="MGV41" s="19"/>
      <c r="MGW41" s="16"/>
      <c r="MGX41" s="18"/>
      <c r="MGY41" s="13"/>
      <c r="MGZ41" s="12"/>
      <c r="MHA41" s="18"/>
      <c r="MHB41" s="12"/>
      <c r="MHC41" s="19"/>
      <c r="MHD41" s="16"/>
      <c r="MHE41" s="18"/>
      <c r="MHF41" s="13"/>
      <c r="MHG41" s="12"/>
      <c r="MHH41" s="18"/>
      <c r="MHI41" s="12"/>
      <c r="MHJ41" s="19"/>
      <c r="MHK41" s="16"/>
      <c r="MHL41" s="18"/>
      <c r="MHM41" s="13"/>
      <c r="MHN41" s="12"/>
      <c r="MHO41" s="18"/>
      <c r="MHP41" s="12"/>
      <c r="MHQ41" s="19"/>
      <c r="MHR41" s="16"/>
      <c r="MHS41" s="18"/>
      <c r="MHT41" s="13"/>
      <c r="MHU41" s="12"/>
      <c r="MHV41" s="18"/>
      <c r="MHW41" s="12"/>
      <c r="MHX41" s="19"/>
      <c r="MHY41" s="16"/>
      <c r="MHZ41" s="18"/>
      <c r="MIA41" s="13"/>
      <c r="MIB41" s="12"/>
      <c r="MIC41" s="18"/>
      <c r="MID41" s="12"/>
      <c r="MIE41" s="19"/>
      <c r="MIF41" s="16"/>
      <c r="MIG41" s="18"/>
      <c r="MIH41" s="13"/>
      <c r="MII41" s="12"/>
      <c r="MIJ41" s="18"/>
      <c r="MIK41" s="12"/>
      <c r="MIL41" s="19"/>
      <c r="MIM41" s="16"/>
      <c r="MIN41" s="18"/>
      <c r="MIO41" s="13"/>
      <c r="MIP41" s="12"/>
      <c r="MIQ41" s="18"/>
      <c r="MIR41" s="12"/>
      <c r="MIS41" s="19"/>
      <c r="MIT41" s="16"/>
      <c r="MIU41" s="18"/>
      <c r="MIV41" s="13"/>
      <c r="MIW41" s="12"/>
      <c r="MIX41" s="18"/>
      <c r="MIY41" s="12"/>
      <c r="MIZ41" s="19"/>
      <c r="MJA41" s="16"/>
      <c r="MJB41" s="18"/>
      <c r="MJC41" s="13"/>
      <c r="MJD41" s="12"/>
      <c r="MJE41" s="18"/>
      <c r="MJF41" s="12"/>
      <c r="MJG41" s="19"/>
      <c r="MJH41" s="16"/>
      <c r="MJI41" s="18"/>
      <c r="MJJ41" s="13"/>
      <c r="MJK41" s="12"/>
      <c r="MJL41" s="18"/>
      <c r="MJM41" s="12"/>
      <c r="MJN41" s="19"/>
      <c r="MJO41" s="16"/>
      <c r="MJP41" s="18"/>
      <c r="MJQ41" s="13"/>
      <c r="MJR41" s="12"/>
      <c r="MJS41" s="18"/>
      <c r="MJT41" s="12"/>
      <c r="MJU41" s="19"/>
      <c r="MJV41" s="16"/>
      <c r="MJW41" s="18"/>
      <c r="MJX41" s="13"/>
      <c r="MJY41" s="12"/>
      <c r="MJZ41" s="18"/>
      <c r="MKA41" s="12"/>
      <c r="MKB41" s="19"/>
      <c r="MKC41" s="16"/>
      <c r="MKD41" s="18"/>
      <c r="MKE41" s="13"/>
      <c r="MKF41" s="12"/>
      <c r="MKG41" s="18"/>
      <c r="MKH41" s="12"/>
      <c r="MKI41" s="19"/>
      <c r="MKJ41" s="16"/>
      <c r="MKK41" s="18"/>
      <c r="MKL41" s="13"/>
      <c r="MKM41" s="12"/>
      <c r="MKN41" s="18"/>
      <c r="MKO41" s="12"/>
      <c r="MKP41" s="19"/>
      <c r="MKQ41" s="16"/>
      <c r="MKR41" s="18"/>
      <c r="MKS41" s="13"/>
      <c r="MKT41" s="12"/>
      <c r="MKU41" s="18"/>
      <c r="MKV41" s="12"/>
      <c r="MKW41" s="19"/>
      <c r="MKX41" s="16"/>
      <c r="MKY41" s="18"/>
      <c r="MKZ41" s="13"/>
      <c r="MLA41" s="12"/>
      <c r="MLB41" s="18"/>
      <c r="MLC41" s="12"/>
      <c r="MLD41" s="19"/>
      <c r="MLE41" s="16"/>
      <c r="MLF41" s="18"/>
      <c r="MLG41" s="13"/>
      <c r="MLH41" s="12"/>
      <c r="MLI41" s="18"/>
      <c r="MLJ41" s="12"/>
      <c r="MLK41" s="19"/>
      <c r="MLL41" s="16"/>
      <c r="MLM41" s="18"/>
      <c r="MLN41" s="13"/>
      <c r="MLO41" s="12"/>
      <c r="MLP41" s="18"/>
      <c r="MLQ41" s="12"/>
      <c r="MLR41" s="19"/>
      <c r="MLS41" s="16"/>
      <c r="MLT41" s="18"/>
      <c r="MLU41" s="13"/>
      <c r="MLV41" s="12"/>
      <c r="MLW41" s="18"/>
      <c r="MLX41" s="12"/>
      <c r="MLY41" s="19"/>
      <c r="MLZ41" s="16"/>
      <c r="MMA41" s="18"/>
      <c r="MMB41" s="13"/>
      <c r="MMC41" s="12"/>
      <c r="MMD41" s="18"/>
      <c r="MME41" s="12"/>
      <c r="MMF41" s="19"/>
      <c r="MMG41" s="16"/>
      <c r="MMH41" s="18"/>
      <c r="MMI41" s="13"/>
      <c r="MMJ41" s="12"/>
      <c r="MMK41" s="18"/>
      <c r="MML41" s="12"/>
      <c r="MMM41" s="19"/>
      <c r="MMN41" s="16"/>
      <c r="MMO41" s="18"/>
      <c r="MMP41" s="13"/>
      <c r="MMQ41" s="12"/>
      <c r="MMR41" s="18"/>
      <c r="MMS41" s="12"/>
      <c r="MMT41" s="19"/>
      <c r="MMU41" s="16"/>
      <c r="MMV41" s="18"/>
      <c r="MMW41" s="13"/>
      <c r="MMX41" s="12"/>
      <c r="MMY41" s="18"/>
      <c r="MMZ41" s="12"/>
      <c r="MNA41" s="19"/>
      <c r="MNB41" s="16"/>
      <c r="MNC41" s="18"/>
      <c r="MND41" s="13"/>
      <c r="MNE41" s="12"/>
      <c r="MNF41" s="18"/>
      <c r="MNG41" s="12"/>
      <c r="MNH41" s="19"/>
      <c r="MNI41" s="16"/>
      <c r="MNJ41" s="18"/>
      <c r="MNK41" s="13"/>
      <c r="MNL41" s="12"/>
      <c r="MNM41" s="18"/>
      <c r="MNN41" s="12"/>
      <c r="MNO41" s="19"/>
      <c r="MNP41" s="16"/>
      <c r="MNQ41" s="18"/>
      <c r="MNR41" s="13"/>
      <c r="MNS41" s="12"/>
      <c r="MNT41" s="18"/>
      <c r="MNU41" s="12"/>
      <c r="MNV41" s="19"/>
      <c r="MNW41" s="16"/>
      <c r="MNX41" s="18"/>
      <c r="MNY41" s="13"/>
      <c r="MNZ41" s="12"/>
      <c r="MOA41" s="18"/>
      <c r="MOB41" s="12"/>
      <c r="MOC41" s="19"/>
      <c r="MOD41" s="16"/>
      <c r="MOE41" s="18"/>
      <c r="MOF41" s="13"/>
      <c r="MOG41" s="12"/>
      <c r="MOH41" s="18"/>
      <c r="MOI41" s="12"/>
      <c r="MOJ41" s="19"/>
      <c r="MOK41" s="16"/>
      <c r="MOL41" s="18"/>
      <c r="MOM41" s="13"/>
      <c r="MON41" s="12"/>
      <c r="MOO41" s="18"/>
      <c r="MOP41" s="12"/>
      <c r="MOQ41" s="19"/>
      <c r="MOR41" s="16"/>
      <c r="MOS41" s="18"/>
      <c r="MOT41" s="13"/>
      <c r="MOU41" s="12"/>
      <c r="MOV41" s="18"/>
      <c r="MOW41" s="12"/>
      <c r="MOX41" s="19"/>
      <c r="MOY41" s="16"/>
      <c r="MOZ41" s="18"/>
      <c r="MPA41" s="13"/>
      <c r="MPB41" s="12"/>
      <c r="MPC41" s="18"/>
      <c r="MPD41" s="12"/>
      <c r="MPE41" s="19"/>
      <c r="MPF41" s="16"/>
      <c r="MPG41" s="18"/>
      <c r="MPH41" s="13"/>
      <c r="MPI41" s="12"/>
      <c r="MPJ41" s="18"/>
      <c r="MPK41" s="12"/>
      <c r="MPL41" s="19"/>
      <c r="MPM41" s="16"/>
      <c r="MPN41" s="18"/>
      <c r="MPO41" s="13"/>
      <c r="MPP41" s="12"/>
      <c r="MPQ41" s="18"/>
      <c r="MPR41" s="12"/>
      <c r="MPS41" s="19"/>
      <c r="MPT41" s="16"/>
      <c r="MPU41" s="18"/>
      <c r="MPV41" s="13"/>
      <c r="MPW41" s="12"/>
      <c r="MPX41" s="18"/>
      <c r="MPY41" s="12"/>
      <c r="MPZ41" s="19"/>
      <c r="MQA41" s="16"/>
      <c r="MQB41" s="18"/>
      <c r="MQC41" s="13"/>
      <c r="MQD41" s="12"/>
      <c r="MQE41" s="18"/>
      <c r="MQF41" s="12"/>
      <c r="MQG41" s="19"/>
      <c r="MQH41" s="16"/>
      <c r="MQI41" s="18"/>
      <c r="MQJ41" s="13"/>
      <c r="MQK41" s="12"/>
      <c r="MQL41" s="18"/>
      <c r="MQM41" s="12"/>
      <c r="MQN41" s="19"/>
      <c r="MQO41" s="16"/>
      <c r="MQP41" s="18"/>
      <c r="MQQ41" s="13"/>
      <c r="MQR41" s="12"/>
      <c r="MQS41" s="18"/>
      <c r="MQT41" s="12"/>
      <c r="MQU41" s="19"/>
      <c r="MQV41" s="16"/>
      <c r="MQW41" s="18"/>
      <c r="MQX41" s="13"/>
      <c r="MQY41" s="12"/>
      <c r="MQZ41" s="18"/>
      <c r="MRA41" s="12"/>
      <c r="MRB41" s="19"/>
      <c r="MRC41" s="16"/>
      <c r="MRD41" s="18"/>
      <c r="MRE41" s="13"/>
      <c r="MRF41" s="12"/>
      <c r="MRG41" s="18"/>
      <c r="MRH41" s="12"/>
      <c r="MRI41" s="19"/>
      <c r="MRJ41" s="16"/>
      <c r="MRK41" s="18"/>
      <c r="MRL41" s="13"/>
      <c r="MRM41" s="12"/>
      <c r="MRN41" s="18"/>
      <c r="MRO41" s="12"/>
      <c r="MRP41" s="19"/>
      <c r="MRQ41" s="16"/>
      <c r="MRR41" s="18"/>
      <c r="MRS41" s="13"/>
      <c r="MRT41" s="12"/>
      <c r="MRU41" s="18"/>
      <c r="MRV41" s="12"/>
      <c r="MRW41" s="19"/>
      <c r="MRX41" s="16"/>
      <c r="MRY41" s="18"/>
      <c r="MRZ41" s="13"/>
      <c r="MSA41" s="12"/>
      <c r="MSB41" s="18"/>
      <c r="MSC41" s="12"/>
      <c r="MSD41" s="19"/>
      <c r="MSE41" s="16"/>
      <c r="MSF41" s="18"/>
      <c r="MSG41" s="13"/>
      <c r="MSH41" s="12"/>
      <c r="MSI41" s="18"/>
      <c r="MSJ41" s="12"/>
      <c r="MSK41" s="19"/>
      <c r="MSL41" s="16"/>
      <c r="MSM41" s="18"/>
      <c r="MSN41" s="13"/>
      <c r="MSO41" s="12"/>
      <c r="MSP41" s="18"/>
      <c r="MSQ41" s="12"/>
      <c r="MSR41" s="19"/>
      <c r="MSS41" s="16"/>
      <c r="MST41" s="18"/>
      <c r="MSU41" s="13"/>
      <c r="MSV41" s="12"/>
      <c r="MSW41" s="18"/>
      <c r="MSX41" s="12"/>
      <c r="MSY41" s="19"/>
      <c r="MSZ41" s="16"/>
      <c r="MTA41" s="18"/>
      <c r="MTB41" s="13"/>
      <c r="MTC41" s="12"/>
      <c r="MTD41" s="18"/>
      <c r="MTE41" s="12"/>
      <c r="MTF41" s="19"/>
      <c r="MTG41" s="16"/>
      <c r="MTH41" s="18"/>
      <c r="MTI41" s="13"/>
      <c r="MTJ41" s="12"/>
      <c r="MTK41" s="18"/>
      <c r="MTL41" s="12"/>
      <c r="MTM41" s="19"/>
      <c r="MTN41" s="16"/>
      <c r="MTO41" s="18"/>
      <c r="MTP41" s="13"/>
      <c r="MTQ41" s="12"/>
      <c r="MTR41" s="18"/>
      <c r="MTS41" s="12"/>
      <c r="MTT41" s="19"/>
      <c r="MTU41" s="16"/>
      <c r="MTV41" s="18"/>
      <c r="MTW41" s="13"/>
      <c r="MTX41" s="12"/>
      <c r="MTY41" s="18"/>
      <c r="MTZ41" s="12"/>
      <c r="MUA41" s="19"/>
      <c r="MUB41" s="16"/>
      <c r="MUC41" s="18"/>
      <c r="MUD41" s="13"/>
      <c r="MUE41" s="12"/>
      <c r="MUF41" s="18"/>
      <c r="MUG41" s="12"/>
      <c r="MUH41" s="19"/>
      <c r="MUI41" s="16"/>
      <c r="MUJ41" s="18"/>
      <c r="MUK41" s="13"/>
      <c r="MUL41" s="12"/>
      <c r="MUM41" s="18"/>
      <c r="MUN41" s="12"/>
      <c r="MUO41" s="19"/>
      <c r="MUP41" s="16"/>
      <c r="MUQ41" s="18"/>
      <c r="MUR41" s="13"/>
      <c r="MUS41" s="12"/>
      <c r="MUT41" s="18"/>
      <c r="MUU41" s="12"/>
      <c r="MUV41" s="19"/>
      <c r="MUW41" s="16"/>
      <c r="MUX41" s="18"/>
      <c r="MUY41" s="13"/>
      <c r="MUZ41" s="12"/>
      <c r="MVA41" s="18"/>
      <c r="MVB41" s="12"/>
      <c r="MVC41" s="19"/>
      <c r="MVD41" s="16"/>
      <c r="MVE41" s="18"/>
      <c r="MVF41" s="13"/>
      <c r="MVG41" s="12"/>
      <c r="MVH41" s="18"/>
      <c r="MVI41" s="12"/>
      <c r="MVJ41" s="19"/>
      <c r="MVK41" s="16"/>
      <c r="MVL41" s="18"/>
      <c r="MVM41" s="13"/>
      <c r="MVN41" s="12"/>
      <c r="MVO41" s="18"/>
      <c r="MVP41" s="12"/>
      <c r="MVQ41" s="19"/>
      <c r="MVR41" s="16"/>
      <c r="MVS41" s="18"/>
      <c r="MVT41" s="13"/>
      <c r="MVU41" s="12"/>
      <c r="MVV41" s="18"/>
      <c r="MVW41" s="12"/>
      <c r="MVX41" s="19"/>
      <c r="MVY41" s="16"/>
      <c r="MVZ41" s="18"/>
      <c r="MWA41" s="13"/>
      <c r="MWB41" s="12"/>
      <c r="MWC41" s="18"/>
      <c r="MWD41" s="12"/>
      <c r="MWE41" s="19"/>
      <c r="MWF41" s="16"/>
      <c r="MWG41" s="18"/>
      <c r="MWH41" s="13"/>
      <c r="MWI41" s="12"/>
      <c r="MWJ41" s="18"/>
      <c r="MWK41" s="12"/>
      <c r="MWL41" s="19"/>
      <c r="MWM41" s="16"/>
      <c r="MWN41" s="18"/>
      <c r="MWO41" s="13"/>
      <c r="MWP41" s="12"/>
      <c r="MWQ41" s="18"/>
      <c r="MWR41" s="12"/>
      <c r="MWS41" s="19"/>
      <c r="MWT41" s="16"/>
      <c r="MWU41" s="18"/>
      <c r="MWV41" s="13"/>
      <c r="MWW41" s="12"/>
      <c r="MWX41" s="18"/>
      <c r="MWY41" s="12"/>
      <c r="MWZ41" s="19"/>
      <c r="MXA41" s="16"/>
      <c r="MXB41" s="18"/>
      <c r="MXC41" s="13"/>
      <c r="MXD41" s="12"/>
      <c r="MXE41" s="18"/>
      <c r="MXF41" s="12"/>
      <c r="MXG41" s="19"/>
      <c r="MXH41" s="16"/>
      <c r="MXI41" s="18"/>
      <c r="MXJ41" s="13"/>
      <c r="MXK41" s="12"/>
      <c r="MXL41" s="18"/>
      <c r="MXM41" s="12"/>
      <c r="MXN41" s="19"/>
      <c r="MXO41" s="16"/>
      <c r="MXP41" s="18"/>
      <c r="MXQ41" s="13"/>
      <c r="MXR41" s="12"/>
      <c r="MXS41" s="18"/>
      <c r="MXT41" s="12"/>
      <c r="MXU41" s="19"/>
      <c r="MXV41" s="16"/>
      <c r="MXW41" s="18"/>
      <c r="MXX41" s="13"/>
      <c r="MXY41" s="12"/>
      <c r="MXZ41" s="18"/>
      <c r="MYA41" s="12"/>
      <c r="MYB41" s="19"/>
      <c r="MYC41" s="16"/>
      <c r="MYD41" s="18"/>
      <c r="MYE41" s="13"/>
      <c r="MYF41" s="12"/>
      <c r="MYG41" s="18"/>
      <c r="MYH41" s="12"/>
      <c r="MYI41" s="19"/>
      <c r="MYJ41" s="16"/>
      <c r="MYK41" s="18"/>
      <c r="MYL41" s="13"/>
      <c r="MYM41" s="12"/>
      <c r="MYN41" s="18"/>
      <c r="MYO41" s="12"/>
      <c r="MYP41" s="19"/>
      <c r="MYQ41" s="16"/>
      <c r="MYR41" s="18"/>
      <c r="MYS41" s="13"/>
      <c r="MYT41" s="12"/>
      <c r="MYU41" s="18"/>
      <c r="MYV41" s="12"/>
      <c r="MYW41" s="19"/>
      <c r="MYX41" s="16"/>
      <c r="MYY41" s="18"/>
      <c r="MYZ41" s="13"/>
      <c r="MZA41" s="12"/>
      <c r="MZB41" s="18"/>
      <c r="MZC41" s="12"/>
      <c r="MZD41" s="19"/>
      <c r="MZE41" s="16"/>
      <c r="MZF41" s="18"/>
      <c r="MZG41" s="13"/>
      <c r="MZH41" s="12"/>
      <c r="MZI41" s="18"/>
      <c r="MZJ41" s="12"/>
      <c r="MZK41" s="19"/>
      <c r="MZL41" s="16"/>
      <c r="MZM41" s="18"/>
      <c r="MZN41" s="13"/>
      <c r="MZO41" s="12"/>
      <c r="MZP41" s="18"/>
      <c r="MZQ41" s="12"/>
      <c r="MZR41" s="19"/>
      <c r="MZS41" s="16"/>
      <c r="MZT41" s="18"/>
      <c r="MZU41" s="13"/>
      <c r="MZV41" s="12"/>
      <c r="MZW41" s="18"/>
      <c r="MZX41" s="12"/>
      <c r="MZY41" s="19"/>
      <c r="MZZ41" s="16"/>
      <c r="NAA41" s="18"/>
      <c r="NAB41" s="13"/>
      <c r="NAC41" s="12"/>
      <c r="NAD41" s="18"/>
      <c r="NAE41" s="12"/>
      <c r="NAF41" s="19"/>
      <c r="NAG41" s="16"/>
      <c r="NAH41" s="18"/>
      <c r="NAI41" s="13"/>
      <c r="NAJ41" s="12"/>
      <c r="NAK41" s="18"/>
      <c r="NAL41" s="12"/>
      <c r="NAM41" s="19"/>
      <c r="NAN41" s="16"/>
      <c r="NAO41" s="18"/>
      <c r="NAP41" s="13"/>
      <c r="NAQ41" s="12"/>
      <c r="NAR41" s="18"/>
      <c r="NAS41" s="12"/>
      <c r="NAT41" s="19"/>
      <c r="NAU41" s="16"/>
      <c r="NAV41" s="18"/>
      <c r="NAW41" s="13"/>
      <c r="NAX41" s="12"/>
      <c r="NAY41" s="18"/>
      <c r="NAZ41" s="12"/>
      <c r="NBA41" s="19"/>
      <c r="NBB41" s="16"/>
      <c r="NBC41" s="18"/>
      <c r="NBD41" s="13"/>
      <c r="NBE41" s="12"/>
      <c r="NBF41" s="18"/>
      <c r="NBG41" s="12"/>
      <c r="NBH41" s="19"/>
      <c r="NBI41" s="16"/>
      <c r="NBJ41" s="18"/>
      <c r="NBK41" s="13"/>
      <c r="NBL41" s="12"/>
      <c r="NBM41" s="18"/>
      <c r="NBN41" s="12"/>
      <c r="NBO41" s="19"/>
      <c r="NBP41" s="16"/>
      <c r="NBQ41" s="18"/>
      <c r="NBR41" s="13"/>
      <c r="NBS41" s="12"/>
      <c r="NBT41" s="18"/>
      <c r="NBU41" s="12"/>
      <c r="NBV41" s="19"/>
      <c r="NBW41" s="16"/>
      <c r="NBX41" s="18"/>
      <c r="NBY41" s="13"/>
      <c r="NBZ41" s="12"/>
      <c r="NCA41" s="18"/>
      <c r="NCB41" s="12"/>
      <c r="NCC41" s="19"/>
      <c r="NCD41" s="16"/>
      <c r="NCE41" s="18"/>
      <c r="NCF41" s="13"/>
      <c r="NCG41" s="12"/>
      <c r="NCH41" s="18"/>
      <c r="NCI41" s="12"/>
      <c r="NCJ41" s="19"/>
      <c r="NCK41" s="16"/>
      <c r="NCL41" s="18"/>
      <c r="NCM41" s="13"/>
      <c r="NCN41" s="12"/>
      <c r="NCO41" s="18"/>
      <c r="NCP41" s="12"/>
      <c r="NCQ41" s="19"/>
      <c r="NCR41" s="16"/>
      <c r="NCS41" s="18"/>
      <c r="NCT41" s="13"/>
      <c r="NCU41" s="12"/>
      <c r="NCV41" s="18"/>
      <c r="NCW41" s="12"/>
      <c r="NCX41" s="19"/>
      <c r="NCY41" s="16"/>
      <c r="NCZ41" s="18"/>
      <c r="NDA41" s="13"/>
      <c r="NDB41" s="12"/>
      <c r="NDC41" s="18"/>
      <c r="NDD41" s="12"/>
      <c r="NDE41" s="19"/>
      <c r="NDF41" s="16"/>
      <c r="NDG41" s="18"/>
      <c r="NDH41" s="13"/>
      <c r="NDI41" s="12"/>
      <c r="NDJ41" s="18"/>
      <c r="NDK41" s="12"/>
      <c r="NDL41" s="19"/>
      <c r="NDM41" s="16"/>
      <c r="NDN41" s="18"/>
      <c r="NDO41" s="13"/>
      <c r="NDP41" s="12"/>
      <c r="NDQ41" s="18"/>
      <c r="NDR41" s="12"/>
      <c r="NDS41" s="19"/>
      <c r="NDT41" s="16"/>
      <c r="NDU41" s="18"/>
      <c r="NDV41" s="13"/>
      <c r="NDW41" s="12"/>
      <c r="NDX41" s="18"/>
      <c r="NDY41" s="12"/>
      <c r="NDZ41" s="19"/>
      <c r="NEA41" s="16"/>
      <c r="NEB41" s="18"/>
      <c r="NEC41" s="13"/>
      <c r="NED41" s="12"/>
      <c r="NEE41" s="18"/>
      <c r="NEF41" s="12"/>
      <c r="NEG41" s="19"/>
      <c r="NEH41" s="16"/>
      <c r="NEI41" s="18"/>
      <c r="NEJ41" s="13"/>
      <c r="NEK41" s="12"/>
      <c r="NEL41" s="18"/>
      <c r="NEM41" s="12"/>
      <c r="NEN41" s="19"/>
      <c r="NEO41" s="16"/>
      <c r="NEP41" s="18"/>
      <c r="NEQ41" s="13"/>
      <c r="NER41" s="12"/>
      <c r="NES41" s="18"/>
      <c r="NET41" s="12"/>
      <c r="NEU41" s="19"/>
      <c r="NEV41" s="16"/>
      <c r="NEW41" s="18"/>
      <c r="NEX41" s="13"/>
      <c r="NEY41" s="12"/>
      <c r="NEZ41" s="18"/>
      <c r="NFA41" s="12"/>
      <c r="NFB41" s="19"/>
      <c r="NFC41" s="16"/>
      <c r="NFD41" s="18"/>
      <c r="NFE41" s="13"/>
      <c r="NFF41" s="12"/>
      <c r="NFG41" s="18"/>
      <c r="NFH41" s="12"/>
      <c r="NFI41" s="19"/>
      <c r="NFJ41" s="16"/>
      <c r="NFK41" s="18"/>
      <c r="NFL41" s="13"/>
      <c r="NFM41" s="12"/>
      <c r="NFN41" s="18"/>
      <c r="NFO41" s="12"/>
      <c r="NFP41" s="19"/>
      <c r="NFQ41" s="16"/>
      <c r="NFR41" s="18"/>
      <c r="NFS41" s="13"/>
      <c r="NFT41" s="12"/>
      <c r="NFU41" s="18"/>
      <c r="NFV41" s="12"/>
      <c r="NFW41" s="19"/>
      <c r="NFX41" s="16"/>
      <c r="NFY41" s="18"/>
      <c r="NFZ41" s="13"/>
      <c r="NGA41" s="12"/>
      <c r="NGB41" s="18"/>
      <c r="NGC41" s="12"/>
      <c r="NGD41" s="19"/>
      <c r="NGE41" s="16"/>
      <c r="NGF41" s="18"/>
      <c r="NGG41" s="13"/>
      <c r="NGH41" s="12"/>
      <c r="NGI41" s="18"/>
      <c r="NGJ41" s="12"/>
      <c r="NGK41" s="19"/>
      <c r="NGL41" s="16"/>
      <c r="NGM41" s="18"/>
      <c r="NGN41" s="13"/>
      <c r="NGO41" s="12"/>
      <c r="NGP41" s="18"/>
      <c r="NGQ41" s="12"/>
      <c r="NGR41" s="19"/>
      <c r="NGS41" s="16"/>
      <c r="NGT41" s="18"/>
      <c r="NGU41" s="13"/>
      <c r="NGV41" s="12"/>
      <c r="NGW41" s="18"/>
      <c r="NGX41" s="12"/>
      <c r="NGY41" s="19"/>
      <c r="NGZ41" s="16"/>
      <c r="NHA41" s="18"/>
      <c r="NHB41" s="13"/>
      <c r="NHC41" s="12"/>
      <c r="NHD41" s="18"/>
      <c r="NHE41" s="12"/>
      <c r="NHF41" s="19"/>
      <c r="NHG41" s="16"/>
      <c r="NHH41" s="18"/>
      <c r="NHI41" s="13"/>
      <c r="NHJ41" s="12"/>
      <c r="NHK41" s="18"/>
      <c r="NHL41" s="12"/>
      <c r="NHM41" s="19"/>
      <c r="NHN41" s="16"/>
      <c r="NHO41" s="18"/>
      <c r="NHP41" s="13"/>
      <c r="NHQ41" s="12"/>
      <c r="NHR41" s="18"/>
      <c r="NHS41" s="12"/>
      <c r="NHT41" s="19"/>
      <c r="NHU41" s="16"/>
      <c r="NHV41" s="18"/>
      <c r="NHW41" s="13"/>
      <c r="NHX41" s="12"/>
      <c r="NHY41" s="18"/>
      <c r="NHZ41" s="12"/>
      <c r="NIA41" s="19"/>
      <c r="NIB41" s="16"/>
      <c r="NIC41" s="18"/>
      <c r="NID41" s="13"/>
      <c r="NIE41" s="12"/>
      <c r="NIF41" s="18"/>
      <c r="NIG41" s="12"/>
      <c r="NIH41" s="19"/>
      <c r="NII41" s="16"/>
      <c r="NIJ41" s="18"/>
      <c r="NIK41" s="13"/>
      <c r="NIL41" s="12"/>
      <c r="NIM41" s="18"/>
      <c r="NIN41" s="12"/>
      <c r="NIO41" s="19"/>
      <c r="NIP41" s="16"/>
      <c r="NIQ41" s="18"/>
      <c r="NIR41" s="13"/>
      <c r="NIS41" s="12"/>
      <c r="NIT41" s="18"/>
      <c r="NIU41" s="12"/>
      <c r="NIV41" s="19"/>
      <c r="NIW41" s="16"/>
      <c r="NIX41" s="18"/>
      <c r="NIY41" s="13"/>
      <c r="NIZ41" s="12"/>
      <c r="NJA41" s="18"/>
      <c r="NJB41" s="12"/>
      <c r="NJC41" s="19"/>
      <c r="NJD41" s="16"/>
      <c r="NJE41" s="18"/>
      <c r="NJF41" s="13"/>
      <c r="NJG41" s="12"/>
      <c r="NJH41" s="18"/>
      <c r="NJI41" s="12"/>
      <c r="NJJ41" s="19"/>
      <c r="NJK41" s="16"/>
      <c r="NJL41" s="18"/>
      <c r="NJM41" s="13"/>
      <c r="NJN41" s="12"/>
      <c r="NJO41" s="18"/>
      <c r="NJP41" s="12"/>
      <c r="NJQ41" s="19"/>
      <c r="NJR41" s="16"/>
      <c r="NJS41" s="18"/>
      <c r="NJT41" s="13"/>
      <c r="NJU41" s="12"/>
      <c r="NJV41" s="18"/>
      <c r="NJW41" s="12"/>
      <c r="NJX41" s="19"/>
      <c r="NJY41" s="16"/>
      <c r="NJZ41" s="18"/>
      <c r="NKA41" s="13"/>
      <c r="NKB41" s="12"/>
      <c r="NKC41" s="18"/>
      <c r="NKD41" s="12"/>
      <c r="NKE41" s="19"/>
      <c r="NKF41" s="16"/>
      <c r="NKG41" s="18"/>
      <c r="NKH41" s="13"/>
      <c r="NKI41" s="12"/>
      <c r="NKJ41" s="18"/>
      <c r="NKK41" s="12"/>
      <c r="NKL41" s="19"/>
      <c r="NKM41" s="16"/>
      <c r="NKN41" s="18"/>
      <c r="NKO41" s="13"/>
      <c r="NKP41" s="12"/>
      <c r="NKQ41" s="18"/>
      <c r="NKR41" s="12"/>
      <c r="NKS41" s="19"/>
      <c r="NKT41" s="16"/>
      <c r="NKU41" s="18"/>
      <c r="NKV41" s="13"/>
      <c r="NKW41" s="12"/>
      <c r="NKX41" s="18"/>
      <c r="NKY41" s="12"/>
      <c r="NKZ41" s="19"/>
      <c r="NLA41" s="16"/>
      <c r="NLB41" s="18"/>
      <c r="NLC41" s="13"/>
      <c r="NLD41" s="12"/>
      <c r="NLE41" s="18"/>
      <c r="NLF41" s="12"/>
      <c r="NLG41" s="19"/>
      <c r="NLH41" s="16"/>
      <c r="NLI41" s="18"/>
      <c r="NLJ41" s="13"/>
      <c r="NLK41" s="12"/>
      <c r="NLL41" s="18"/>
      <c r="NLM41" s="12"/>
      <c r="NLN41" s="19"/>
      <c r="NLO41" s="16"/>
      <c r="NLP41" s="18"/>
      <c r="NLQ41" s="13"/>
      <c r="NLR41" s="12"/>
      <c r="NLS41" s="18"/>
      <c r="NLT41" s="12"/>
      <c r="NLU41" s="19"/>
      <c r="NLV41" s="16"/>
      <c r="NLW41" s="18"/>
      <c r="NLX41" s="13"/>
      <c r="NLY41" s="12"/>
      <c r="NLZ41" s="18"/>
      <c r="NMA41" s="12"/>
      <c r="NMB41" s="19"/>
      <c r="NMC41" s="16"/>
      <c r="NMD41" s="18"/>
      <c r="NME41" s="13"/>
      <c r="NMF41" s="12"/>
      <c r="NMG41" s="18"/>
      <c r="NMH41" s="12"/>
      <c r="NMI41" s="19"/>
      <c r="NMJ41" s="16"/>
      <c r="NMK41" s="18"/>
      <c r="NML41" s="13"/>
      <c r="NMM41" s="12"/>
      <c r="NMN41" s="18"/>
      <c r="NMO41" s="12"/>
      <c r="NMP41" s="19"/>
      <c r="NMQ41" s="16"/>
      <c r="NMR41" s="18"/>
      <c r="NMS41" s="13"/>
      <c r="NMT41" s="12"/>
      <c r="NMU41" s="18"/>
      <c r="NMV41" s="12"/>
      <c r="NMW41" s="19"/>
      <c r="NMX41" s="16"/>
      <c r="NMY41" s="18"/>
      <c r="NMZ41" s="13"/>
      <c r="NNA41" s="12"/>
      <c r="NNB41" s="18"/>
      <c r="NNC41" s="12"/>
      <c r="NND41" s="19"/>
      <c r="NNE41" s="16"/>
      <c r="NNF41" s="18"/>
      <c r="NNG41" s="13"/>
      <c r="NNH41" s="12"/>
      <c r="NNI41" s="18"/>
      <c r="NNJ41" s="12"/>
      <c r="NNK41" s="19"/>
      <c r="NNL41" s="16"/>
      <c r="NNM41" s="18"/>
      <c r="NNN41" s="13"/>
      <c r="NNO41" s="12"/>
      <c r="NNP41" s="18"/>
      <c r="NNQ41" s="12"/>
      <c r="NNR41" s="19"/>
      <c r="NNS41" s="16"/>
      <c r="NNT41" s="18"/>
      <c r="NNU41" s="13"/>
      <c r="NNV41" s="12"/>
      <c r="NNW41" s="18"/>
      <c r="NNX41" s="12"/>
      <c r="NNY41" s="19"/>
      <c r="NNZ41" s="16"/>
      <c r="NOA41" s="18"/>
      <c r="NOB41" s="13"/>
      <c r="NOC41" s="12"/>
      <c r="NOD41" s="18"/>
      <c r="NOE41" s="12"/>
      <c r="NOF41" s="19"/>
      <c r="NOG41" s="16"/>
      <c r="NOH41" s="18"/>
      <c r="NOI41" s="13"/>
      <c r="NOJ41" s="12"/>
      <c r="NOK41" s="18"/>
      <c r="NOL41" s="12"/>
      <c r="NOM41" s="19"/>
      <c r="NON41" s="16"/>
      <c r="NOO41" s="18"/>
      <c r="NOP41" s="13"/>
      <c r="NOQ41" s="12"/>
      <c r="NOR41" s="18"/>
      <c r="NOS41" s="12"/>
      <c r="NOT41" s="19"/>
      <c r="NOU41" s="16"/>
      <c r="NOV41" s="18"/>
      <c r="NOW41" s="13"/>
      <c r="NOX41" s="12"/>
      <c r="NOY41" s="18"/>
      <c r="NOZ41" s="12"/>
      <c r="NPA41" s="19"/>
      <c r="NPB41" s="16"/>
      <c r="NPC41" s="18"/>
      <c r="NPD41" s="13"/>
      <c r="NPE41" s="12"/>
      <c r="NPF41" s="18"/>
      <c r="NPG41" s="12"/>
      <c r="NPH41" s="19"/>
      <c r="NPI41" s="16"/>
      <c r="NPJ41" s="18"/>
      <c r="NPK41" s="13"/>
      <c r="NPL41" s="12"/>
      <c r="NPM41" s="18"/>
      <c r="NPN41" s="12"/>
      <c r="NPO41" s="19"/>
      <c r="NPP41" s="16"/>
      <c r="NPQ41" s="18"/>
      <c r="NPR41" s="13"/>
      <c r="NPS41" s="12"/>
      <c r="NPT41" s="18"/>
      <c r="NPU41" s="12"/>
      <c r="NPV41" s="19"/>
      <c r="NPW41" s="16"/>
      <c r="NPX41" s="18"/>
      <c r="NPY41" s="13"/>
      <c r="NPZ41" s="12"/>
      <c r="NQA41" s="18"/>
      <c r="NQB41" s="12"/>
      <c r="NQC41" s="19"/>
      <c r="NQD41" s="16"/>
      <c r="NQE41" s="18"/>
      <c r="NQF41" s="13"/>
      <c r="NQG41" s="12"/>
      <c r="NQH41" s="18"/>
      <c r="NQI41" s="12"/>
      <c r="NQJ41" s="19"/>
      <c r="NQK41" s="16"/>
      <c r="NQL41" s="18"/>
      <c r="NQM41" s="13"/>
      <c r="NQN41" s="12"/>
      <c r="NQO41" s="18"/>
      <c r="NQP41" s="12"/>
      <c r="NQQ41" s="19"/>
      <c r="NQR41" s="16"/>
      <c r="NQS41" s="18"/>
      <c r="NQT41" s="13"/>
      <c r="NQU41" s="12"/>
      <c r="NQV41" s="18"/>
      <c r="NQW41" s="12"/>
      <c r="NQX41" s="19"/>
      <c r="NQY41" s="16"/>
      <c r="NQZ41" s="18"/>
      <c r="NRA41" s="13"/>
      <c r="NRB41" s="12"/>
      <c r="NRC41" s="18"/>
      <c r="NRD41" s="12"/>
      <c r="NRE41" s="19"/>
      <c r="NRF41" s="16"/>
      <c r="NRG41" s="18"/>
      <c r="NRH41" s="13"/>
      <c r="NRI41" s="12"/>
      <c r="NRJ41" s="18"/>
      <c r="NRK41" s="12"/>
      <c r="NRL41" s="19"/>
      <c r="NRM41" s="16"/>
      <c r="NRN41" s="18"/>
      <c r="NRO41" s="13"/>
      <c r="NRP41" s="12"/>
      <c r="NRQ41" s="18"/>
      <c r="NRR41" s="12"/>
      <c r="NRS41" s="19"/>
      <c r="NRT41" s="16"/>
      <c r="NRU41" s="18"/>
      <c r="NRV41" s="13"/>
      <c r="NRW41" s="12"/>
      <c r="NRX41" s="18"/>
      <c r="NRY41" s="12"/>
      <c r="NRZ41" s="19"/>
      <c r="NSA41" s="16"/>
      <c r="NSB41" s="18"/>
      <c r="NSC41" s="13"/>
      <c r="NSD41" s="12"/>
      <c r="NSE41" s="18"/>
      <c r="NSF41" s="12"/>
      <c r="NSG41" s="19"/>
      <c r="NSH41" s="16"/>
      <c r="NSI41" s="18"/>
      <c r="NSJ41" s="13"/>
      <c r="NSK41" s="12"/>
      <c r="NSL41" s="18"/>
      <c r="NSM41" s="12"/>
      <c r="NSN41" s="19"/>
      <c r="NSO41" s="16"/>
      <c r="NSP41" s="18"/>
      <c r="NSQ41" s="13"/>
      <c r="NSR41" s="12"/>
      <c r="NSS41" s="18"/>
      <c r="NST41" s="12"/>
      <c r="NSU41" s="19"/>
      <c r="NSV41" s="16"/>
      <c r="NSW41" s="18"/>
      <c r="NSX41" s="13"/>
      <c r="NSY41" s="12"/>
      <c r="NSZ41" s="18"/>
      <c r="NTA41" s="12"/>
      <c r="NTB41" s="19"/>
      <c r="NTC41" s="16"/>
      <c r="NTD41" s="18"/>
      <c r="NTE41" s="13"/>
      <c r="NTF41" s="12"/>
      <c r="NTG41" s="18"/>
      <c r="NTH41" s="12"/>
      <c r="NTI41" s="19"/>
      <c r="NTJ41" s="16"/>
      <c r="NTK41" s="18"/>
      <c r="NTL41" s="13"/>
      <c r="NTM41" s="12"/>
      <c r="NTN41" s="18"/>
      <c r="NTO41" s="12"/>
      <c r="NTP41" s="19"/>
      <c r="NTQ41" s="16"/>
      <c r="NTR41" s="18"/>
      <c r="NTS41" s="13"/>
      <c r="NTT41" s="12"/>
      <c r="NTU41" s="18"/>
      <c r="NTV41" s="12"/>
      <c r="NTW41" s="19"/>
      <c r="NTX41" s="16"/>
      <c r="NTY41" s="18"/>
      <c r="NTZ41" s="13"/>
      <c r="NUA41" s="12"/>
      <c r="NUB41" s="18"/>
      <c r="NUC41" s="12"/>
      <c r="NUD41" s="19"/>
      <c r="NUE41" s="16"/>
      <c r="NUF41" s="18"/>
      <c r="NUG41" s="13"/>
      <c r="NUH41" s="12"/>
      <c r="NUI41" s="18"/>
      <c r="NUJ41" s="12"/>
      <c r="NUK41" s="19"/>
      <c r="NUL41" s="16"/>
      <c r="NUM41" s="18"/>
      <c r="NUN41" s="13"/>
      <c r="NUO41" s="12"/>
      <c r="NUP41" s="18"/>
      <c r="NUQ41" s="12"/>
      <c r="NUR41" s="19"/>
      <c r="NUS41" s="16"/>
      <c r="NUT41" s="18"/>
      <c r="NUU41" s="13"/>
      <c r="NUV41" s="12"/>
      <c r="NUW41" s="18"/>
      <c r="NUX41" s="12"/>
      <c r="NUY41" s="19"/>
      <c r="NUZ41" s="16"/>
      <c r="NVA41" s="18"/>
      <c r="NVB41" s="13"/>
      <c r="NVC41" s="12"/>
      <c r="NVD41" s="18"/>
      <c r="NVE41" s="12"/>
      <c r="NVF41" s="19"/>
      <c r="NVG41" s="16"/>
      <c r="NVH41" s="18"/>
      <c r="NVI41" s="13"/>
      <c r="NVJ41" s="12"/>
      <c r="NVK41" s="18"/>
      <c r="NVL41" s="12"/>
      <c r="NVM41" s="19"/>
      <c r="NVN41" s="16"/>
      <c r="NVO41" s="18"/>
      <c r="NVP41" s="13"/>
      <c r="NVQ41" s="12"/>
      <c r="NVR41" s="18"/>
      <c r="NVS41" s="12"/>
      <c r="NVT41" s="19"/>
      <c r="NVU41" s="16"/>
      <c r="NVV41" s="18"/>
      <c r="NVW41" s="13"/>
      <c r="NVX41" s="12"/>
      <c r="NVY41" s="18"/>
      <c r="NVZ41" s="12"/>
      <c r="NWA41" s="19"/>
      <c r="NWB41" s="16"/>
      <c r="NWC41" s="18"/>
      <c r="NWD41" s="13"/>
      <c r="NWE41" s="12"/>
      <c r="NWF41" s="18"/>
      <c r="NWG41" s="12"/>
      <c r="NWH41" s="19"/>
      <c r="NWI41" s="16"/>
      <c r="NWJ41" s="18"/>
      <c r="NWK41" s="13"/>
      <c r="NWL41" s="12"/>
      <c r="NWM41" s="18"/>
      <c r="NWN41" s="12"/>
      <c r="NWO41" s="19"/>
      <c r="NWP41" s="16"/>
      <c r="NWQ41" s="18"/>
      <c r="NWR41" s="13"/>
      <c r="NWS41" s="12"/>
      <c r="NWT41" s="18"/>
      <c r="NWU41" s="12"/>
      <c r="NWV41" s="19"/>
      <c r="NWW41" s="16"/>
      <c r="NWX41" s="18"/>
      <c r="NWY41" s="13"/>
      <c r="NWZ41" s="12"/>
      <c r="NXA41" s="18"/>
      <c r="NXB41" s="12"/>
      <c r="NXC41" s="19"/>
      <c r="NXD41" s="16"/>
      <c r="NXE41" s="18"/>
      <c r="NXF41" s="13"/>
      <c r="NXG41" s="12"/>
      <c r="NXH41" s="18"/>
      <c r="NXI41" s="12"/>
      <c r="NXJ41" s="19"/>
      <c r="NXK41" s="16"/>
      <c r="NXL41" s="18"/>
      <c r="NXM41" s="13"/>
      <c r="NXN41" s="12"/>
      <c r="NXO41" s="18"/>
      <c r="NXP41" s="12"/>
      <c r="NXQ41" s="19"/>
      <c r="NXR41" s="16"/>
      <c r="NXS41" s="18"/>
      <c r="NXT41" s="13"/>
      <c r="NXU41" s="12"/>
      <c r="NXV41" s="18"/>
      <c r="NXW41" s="12"/>
      <c r="NXX41" s="19"/>
      <c r="NXY41" s="16"/>
      <c r="NXZ41" s="18"/>
      <c r="NYA41" s="13"/>
      <c r="NYB41" s="12"/>
      <c r="NYC41" s="18"/>
      <c r="NYD41" s="12"/>
      <c r="NYE41" s="19"/>
      <c r="NYF41" s="16"/>
      <c r="NYG41" s="18"/>
      <c r="NYH41" s="13"/>
      <c r="NYI41" s="12"/>
      <c r="NYJ41" s="18"/>
      <c r="NYK41" s="12"/>
      <c r="NYL41" s="19"/>
      <c r="NYM41" s="16"/>
      <c r="NYN41" s="18"/>
      <c r="NYO41" s="13"/>
      <c r="NYP41" s="12"/>
      <c r="NYQ41" s="18"/>
      <c r="NYR41" s="12"/>
      <c r="NYS41" s="19"/>
      <c r="NYT41" s="16"/>
      <c r="NYU41" s="18"/>
      <c r="NYV41" s="13"/>
      <c r="NYW41" s="12"/>
      <c r="NYX41" s="18"/>
      <c r="NYY41" s="12"/>
      <c r="NYZ41" s="19"/>
      <c r="NZA41" s="16"/>
      <c r="NZB41" s="18"/>
      <c r="NZC41" s="13"/>
      <c r="NZD41" s="12"/>
      <c r="NZE41" s="18"/>
      <c r="NZF41" s="12"/>
      <c r="NZG41" s="19"/>
      <c r="NZH41" s="16"/>
      <c r="NZI41" s="18"/>
      <c r="NZJ41" s="13"/>
      <c r="NZK41" s="12"/>
      <c r="NZL41" s="18"/>
      <c r="NZM41" s="12"/>
      <c r="NZN41" s="19"/>
      <c r="NZO41" s="16"/>
      <c r="NZP41" s="18"/>
      <c r="NZQ41" s="13"/>
      <c r="NZR41" s="12"/>
      <c r="NZS41" s="18"/>
      <c r="NZT41" s="12"/>
      <c r="NZU41" s="19"/>
      <c r="NZV41" s="16"/>
      <c r="NZW41" s="18"/>
      <c r="NZX41" s="13"/>
      <c r="NZY41" s="12"/>
      <c r="NZZ41" s="18"/>
      <c r="OAA41" s="12"/>
      <c r="OAB41" s="19"/>
      <c r="OAC41" s="16"/>
      <c r="OAD41" s="18"/>
      <c r="OAE41" s="13"/>
      <c r="OAF41" s="12"/>
      <c r="OAG41" s="18"/>
      <c r="OAH41" s="12"/>
      <c r="OAI41" s="19"/>
      <c r="OAJ41" s="16"/>
      <c r="OAK41" s="18"/>
      <c r="OAL41" s="13"/>
      <c r="OAM41" s="12"/>
      <c r="OAN41" s="18"/>
      <c r="OAO41" s="12"/>
      <c r="OAP41" s="19"/>
      <c r="OAQ41" s="16"/>
      <c r="OAR41" s="18"/>
      <c r="OAS41" s="13"/>
      <c r="OAT41" s="12"/>
      <c r="OAU41" s="18"/>
      <c r="OAV41" s="12"/>
      <c r="OAW41" s="19"/>
      <c r="OAX41" s="16"/>
      <c r="OAY41" s="18"/>
      <c r="OAZ41" s="13"/>
      <c r="OBA41" s="12"/>
      <c r="OBB41" s="18"/>
      <c r="OBC41" s="12"/>
      <c r="OBD41" s="19"/>
      <c r="OBE41" s="16"/>
      <c r="OBF41" s="18"/>
      <c r="OBG41" s="13"/>
      <c r="OBH41" s="12"/>
      <c r="OBI41" s="18"/>
      <c r="OBJ41" s="12"/>
      <c r="OBK41" s="19"/>
      <c r="OBL41" s="16"/>
      <c r="OBM41" s="18"/>
      <c r="OBN41" s="13"/>
      <c r="OBO41" s="12"/>
      <c r="OBP41" s="18"/>
      <c r="OBQ41" s="12"/>
      <c r="OBR41" s="19"/>
      <c r="OBS41" s="16"/>
      <c r="OBT41" s="18"/>
      <c r="OBU41" s="13"/>
      <c r="OBV41" s="12"/>
      <c r="OBW41" s="18"/>
      <c r="OBX41" s="12"/>
      <c r="OBY41" s="19"/>
      <c r="OBZ41" s="16"/>
      <c r="OCA41" s="18"/>
      <c r="OCB41" s="13"/>
      <c r="OCC41" s="12"/>
      <c r="OCD41" s="18"/>
      <c r="OCE41" s="12"/>
      <c r="OCF41" s="19"/>
      <c r="OCG41" s="16"/>
      <c r="OCH41" s="18"/>
      <c r="OCI41" s="13"/>
      <c r="OCJ41" s="12"/>
      <c r="OCK41" s="18"/>
      <c r="OCL41" s="12"/>
      <c r="OCM41" s="19"/>
      <c r="OCN41" s="16"/>
      <c r="OCO41" s="18"/>
      <c r="OCP41" s="13"/>
      <c r="OCQ41" s="12"/>
      <c r="OCR41" s="18"/>
      <c r="OCS41" s="12"/>
      <c r="OCT41" s="19"/>
      <c r="OCU41" s="16"/>
      <c r="OCV41" s="18"/>
      <c r="OCW41" s="13"/>
      <c r="OCX41" s="12"/>
      <c r="OCY41" s="18"/>
      <c r="OCZ41" s="12"/>
      <c r="ODA41" s="19"/>
      <c r="ODB41" s="16"/>
      <c r="ODC41" s="18"/>
      <c r="ODD41" s="13"/>
      <c r="ODE41" s="12"/>
      <c r="ODF41" s="18"/>
      <c r="ODG41" s="12"/>
      <c r="ODH41" s="19"/>
      <c r="ODI41" s="16"/>
      <c r="ODJ41" s="18"/>
      <c r="ODK41" s="13"/>
      <c r="ODL41" s="12"/>
      <c r="ODM41" s="18"/>
      <c r="ODN41" s="12"/>
      <c r="ODO41" s="19"/>
      <c r="ODP41" s="16"/>
      <c r="ODQ41" s="18"/>
      <c r="ODR41" s="13"/>
      <c r="ODS41" s="12"/>
      <c r="ODT41" s="18"/>
      <c r="ODU41" s="12"/>
      <c r="ODV41" s="19"/>
      <c r="ODW41" s="16"/>
      <c r="ODX41" s="18"/>
      <c r="ODY41" s="13"/>
      <c r="ODZ41" s="12"/>
      <c r="OEA41" s="18"/>
      <c r="OEB41" s="12"/>
      <c r="OEC41" s="19"/>
      <c r="OED41" s="16"/>
      <c r="OEE41" s="18"/>
      <c r="OEF41" s="13"/>
      <c r="OEG41" s="12"/>
      <c r="OEH41" s="18"/>
      <c r="OEI41" s="12"/>
      <c r="OEJ41" s="19"/>
      <c r="OEK41" s="16"/>
      <c r="OEL41" s="18"/>
      <c r="OEM41" s="13"/>
      <c r="OEN41" s="12"/>
      <c r="OEO41" s="18"/>
      <c r="OEP41" s="12"/>
      <c r="OEQ41" s="19"/>
      <c r="OER41" s="16"/>
      <c r="OES41" s="18"/>
      <c r="OET41" s="13"/>
      <c r="OEU41" s="12"/>
      <c r="OEV41" s="18"/>
      <c r="OEW41" s="12"/>
      <c r="OEX41" s="19"/>
      <c r="OEY41" s="16"/>
      <c r="OEZ41" s="18"/>
      <c r="OFA41" s="13"/>
      <c r="OFB41" s="12"/>
      <c r="OFC41" s="18"/>
      <c r="OFD41" s="12"/>
      <c r="OFE41" s="19"/>
      <c r="OFF41" s="16"/>
      <c r="OFG41" s="18"/>
      <c r="OFH41" s="13"/>
      <c r="OFI41" s="12"/>
      <c r="OFJ41" s="18"/>
      <c r="OFK41" s="12"/>
      <c r="OFL41" s="19"/>
      <c r="OFM41" s="16"/>
      <c r="OFN41" s="18"/>
      <c r="OFO41" s="13"/>
      <c r="OFP41" s="12"/>
      <c r="OFQ41" s="18"/>
      <c r="OFR41" s="12"/>
      <c r="OFS41" s="19"/>
      <c r="OFT41" s="16"/>
      <c r="OFU41" s="18"/>
      <c r="OFV41" s="13"/>
      <c r="OFW41" s="12"/>
      <c r="OFX41" s="18"/>
      <c r="OFY41" s="12"/>
      <c r="OFZ41" s="19"/>
      <c r="OGA41" s="16"/>
      <c r="OGB41" s="18"/>
      <c r="OGC41" s="13"/>
      <c r="OGD41" s="12"/>
      <c r="OGE41" s="18"/>
      <c r="OGF41" s="12"/>
      <c r="OGG41" s="19"/>
      <c r="OGH41" s="16"/>
      <c r="OGI41" s="18"/>
      <c r="OGJ41" s="13"/>
      <c r="OGK41" s="12"/>
      <c r="OGL41" s="18"/>
      <c r="OGM41" s="12"/>
      <c r="OGN41" s="19"/>
      <c r="OGO41" s="16"/>
      <c r="OGP41" s="18"/>
      <c r="OGQ41" s="13"/>
      <c r="OGR41" s="12"/>
      <c r="OGS41" s="18"/>
      <c r="OGT41" s="12"/>
      <c r="OGU41" s="19"/>
      <c r="OGV41" s="16"/>
      <c r="OGW41" s="18"/>
      <c r="OGX41" s="13"/>
      <c r="OGY41" s="12"/>
      <c r="OGZ41" s="18"/>
      <c r="OHA41" s="12"/>
      <c r="OHB41" s="19"/>
      <c r="OHC41" s="16"/>
      <c r="OHD41" s="18"/>
      <c r="OHE41" s="13"/>
      <c r="OHF41" s="12"/>
      <c r="OHG41" s="18"/>
      <c r="OHH41" s="12"/>
      <c r="OHI41" s="19"/>
      <c r="OHJ41" s="16"/>
      <c r="OHK41" s="18"/>
      <c r="OHL41" s="13"/>
      <c r="OHM41" s="12"/>
      <c r="OHN41" s="18"/>
      <c r="OHO41" s="12"/>
      <c r="OHP41" s="19"/>
      <c r="OHQ41" s="16"/>
      <c r="OHR41" s="18"/>
      <c r="OHS41" s="13"/>
      <c r="OHT41" s="12"/>
      <c r="OHU41" s="18"/>
      <c r="OHV41" s="12"/>
      <c r="OHW41" s="19"/>
      <c r="OHX41" s="16"/>
      <c r="OHY41" s="18"/>
      <c r="OHZ41" s="13"/>
      <c r="OIA41" s="12"/>
      <c r="OIB41" s="18"/>
      <c r="OIC41" s="12"/>
      <c r="OID41" s="19"/>
      <c r="OIE41" s="16"/>
      <c r="OIF41" s="18"/>
      <c r="OIG41" s="13"/>
      <c r="OIH41" s="12"/>
      <c r="OII41" s="18"/>
      <c r="OIJ41" s="12"/>
      <c r="OIK41" s="19"/>
      <c r="OIL41" s="16"/>
      <c r="OIM41" s="18"/>
      <c r="OIN41" s="13"/>
      <c r="OIO41" s="12"/>
      <c r="OIP41" s="18"/>
      <c r="OIQ41" s="12"/>
      <c r="OIR41" s="19"/>
      <c r="OIS41" s="16"/>
      <c r="OIT41" s="18"/>
      <c r="OIU41" s="13"/>
      <c r="OIV41" s="12"/>
      <c r="OIW41" s="18"/>
      <c r="OIX41" s="12"/>
      <c r="OIY41" s="19"/>
      <c r="OIZ41" s="16"/>
      <c r="OJA41" s="18"/>
      <c r="OJB41" s="13"/>
      <c r="OJC41" s="12"/>
      <c r="OJD41" s="18"/>
      <c r="OJE41" s="12"/>
      <c r="OJF41" s="19"/>
      <c r="OJG41" s="16"/>
      <c r="OJH41" s="18"/>
      <c r="OJI41" s="13"/>
      <c r="OJJ41" s="12"/>
      <c r="OJK41" s="18"/>
      <c r="OJL41" s="12"/>
      <c r="OJM41" s="19"/>
      <c r="OJN41" s="16"/>
      <c r="OJO41" s="18"/>
      <c r="OJP41" s="13"/>
      <c r="OJQ41" s="12"/>
      <c r="OJR41" s="18"/>
      <c r="OJS41" s="12"/>
      <c r="OJT41" s="19"/>
      <c r="OJU41" s="16"/>
      <c r="OJV41" s="18"/>
      <c r="OJW41" s="13"/>
      <c r="OJX41" s="12"/>
      <c r="OJY41" s="18"/>
      <c r="OJZ41" s="12"/>
      <c r="OKA41" s="19"/>
      <c r="OKB41" s="16"/>
      <c r="OKC41" s="18"/>
      <c r="OKD41" s="13"/>
      <c r="OKE41" s="12"/>
      <c r="OKF41" s="18"/>
      <c r="OKG41" s="12"/>
      <c r="OKH41" s="19"/>
      <c r="OKI41" s="16"/>
      <c r="OKJ41" s="18"/>
      <c r="OKK41" s="13"/>
      <c r="OKL41" s="12"/>
      <c r="OKM41" s="18"/>
      <c r="OKN41" s="12"/>
      <c r="OKO41" s="19"/>
      <c r="OKP41" s="16"/>
      <c r="OKQ41" s="18"/>
      <c r="OKR41" s="13"/>
      <c r="OKS41" s="12"/>
      <c r="OKT41" s="18"/>
      <c r="OKU41" s="12"/>
      <c r="OKV41" s="19"/>
      <c r="OKW41" s="16"/>
      <c r="OKX41" s="18"/>
      <c r="OKY41" s="13"/>
      <c r="OKZ41" s="12"/>
      <c r="OLA41" s="18"/>
      <c r="OLB41" s="12"/>
      <c r="OLC41" s="19"/>
      <c r="OLD41" s="16"/>
      <c r="OLE41" s="18"/>
      <c r="OLF41" s="13"/>
      <c r="OLG41" s="12"/>
      <c r="OLH41" s="18"/>
      <c r="OLI41" s="12"/>
      <c r="OLJ41" s="19"/>
      <c r="OLK41" s="16"/>
      <c r="OLL41" s="18"/>
      <c r="OLM41" s="13"/>
      <c r="OLN41" s="12"/>
      <c r="OLO41" s="18"/>
      <c r="OLP41" s="12"/>
      <c r="OLQ41" s="19"/>
      <c r="OLR41" s="16"/>
      <c r="OLS41" s="18"/>
      <c r="OLT41" s="13"/>
      <c r="OLU41" s="12"/>
      <c r="OLV41" s="18"/>
      <c r="OLW41" s="12"/>
      <c r="OLX41" s="19"/>
      <c r="OLY41" s="16"/>
      <c r="OLZ41" s="18"/>
      <c r="OMA41" s="13"/>
      <c r="OMB41" s="12"/>
      <c r="OMC41" s="18"/>
      <c r="OMD41" s="12"/>
      <c r="OME41" s="19"/>
      <c r="OMF41" s="16"/>
      <c r="OMG41" s="18"/>
      <c r="OMH41" s="13"/>
      <c r="OMI41" s="12"/>
      <c r="OMJ41" s="18"/>
      <c r="OMK41" s="12"/>
      <c r="OML41" s="19"/>
      <c r="OMM41" s="16"/>
      <c r="OMN41" s="18"/>
      <c r="OMO41" s="13"/>
      <c r="OMP41" s="12"/>
      <c r="OMQ41" s="18"/>
      <c r="OMR41" s="12"/>
      <c r="OMS41" s="19"/>
      <c r="OMT41" s="16"/>
      <c r="OMU41" s="18"/>
      <c r="OMV41" s="13"/>
      <c r="OMW41" s="12"/>
      <c r="OMX41" s="18"/>
      <c r="OMY41" s="12"/>
      <c r="OMZ41" s="19"/>
      <c r="ONA41" s="16"/>
      <c r="ONB41" s="18"/>
      <c r="ONC41" s="13"/>
      <c r="OND41" s="12"/>
      <c r="ONE41" s="18"/>
      <c r="ONF41" s="12"/>
      <c r="ONG41" s="19"/>
      <c r="ONH41" s="16"/>
      <c r="ONI41" s="18"/>
      <c r="ONJ41" s="13"/>
      <c r="ONK41" s="12"/>
      <c r="ONL41" s="18"/>
      <c r="ONM41" s="12"/>
      <c r="ONN41" s="19"/>
      <c r="ONO41" s="16"/>
      <c r="ONP41" s="18"/>
      <c r="ONQ41" s="13"/>
      <c r="ONR41" s="12"/>
      <c r="ONS41" s="18"/>
      <c r="ONT41" s="12"/>
      <c r="ONU41" s="19"/>
      <c r="ONV41" s="16"/>
      <c r="ONW41" s="18"/>
      <c r="ONX41" s="13"/>
      <c r="ONY41" s="12"/>
      <c r="ONZ41" s="18"/>
      <c r="OOA41" s="12"/>
      <c r="OOB41" s="19"/>
      <c r="OOC41" s="16"/>
      <c r="OOD41" s="18"/>
      <c r="OOE41" s="13"/>
      <c r="OOF41" s="12"/>
      <c r="OOG41" s="18"/>
      <c r="OOH41" s="12"/>
      <c r="OOI41" s="19"/>
      <c r="OOJ41" s="16"/>
      <c r="OOK41" s="18"/>
      <c r="OOL41" s="13"/>
      <c r="OOM41" s="12"/>
      <c r="OON41" s="18"/>
      <c r="OOO41" s="12"/>
      <c r="OOP41" s="19"/>
      <c r="OOQ41" s="16"/>
      <c r="OOR41" s="18"/>
      <c r="OOS41" s="13"/>
      <c r="OOT41" s="12"/>
      <c r="OOU41" s="18"/>
      <c r="OOV41" s="12"/>
      <c r="OOW41" s="19"/>
      <c r="OOX41" s="16"/>
      <c r="OOY41" s="18"/>
      <c r="OOZ41" s="13"/>
      <c r="OPA41" s="12"/>
      <c r="OPB41" s="18"/>
      <c r="OPC41" s="12"/>
      <c r="OPD41" s="19"/>
      <c r="OPE41" s="16"/>
      <c r="OPF41" s="18"/>
      <c r="OPG41" s="13"/>
      <c r="OPH41" s="12"/>
      <c r="OPI41" s="18"/>
      <c r="OPJ41" s="12"/>
      <c r="OPK41" s="19"/>
      <c r="OPL41" s="16"/>
      <c r="OPM41" s="18"/>
      <c r="OPN41" s="13"/>
      <c r="OPO41" s="12"/>
      <c r="OPP41" s="18"/>
      <c r="OPQ41" s="12"/>
      <c r="OPR41" s="19"/>
      <c r="OPS41" s="16"/>
      <c r="OPT41" s="18"/>
      <c r="OPU41" s="13"/>
      <c r="OPV41" s="12"/>
      <c r="OPW41" s="18"/>
      <c r="OPX41" s="12"/>
      <c r="OPY41" s="19"/>
      <c r="OPZ41" s="16"/>
      <c r="OQA41" s="18"/>
      <c r="OQB41" s="13"/>
      <c r="OQC41" s="12"/>
      <c r="OQD41" s="18"/>
      <c r="OQE41" s="12"/>
      <c r="OQF41" s="19"/>
      <c r="OQG41" s="16"/>
      <c r="OQH41" s="18"/>
      <c r="OQI41" s="13"/>
      <c r="OQJ41" s="12"/>
      <c r="OQK41" s="18"/>
      <c r="OQL41" s="12"/>
      <c r="OQM41" s="19"/>
      <c r="OQN41" s="16"/>
      <c r="OQO41" s="18"/>
      <c r="OQP41" s="13"/>
      <c r="OQQ41" s="12"/>
      <c r="OQR41" s="18"/>
      <c r="OQS41" s="12"/>
      <c r="OQT41" s="19"/>
      <c r="OQU41" s="16"/>
      <c r="OQV41" s="18"/>
      <c r="OQW41" s="13"/>
      <c r="OQX41" s="12"/>
      <c r="OQY41" s="18"/>
      <c r="OQZ41" s="12"/>
      <c r="ORA41" s="19"/>
      <c r="ORB41" s="16"/>
      <c r="ORC41" s="18"/>
      <c r="ORD41" s="13"/>
      <c r="ORE41" s="12"/>
      <c r="ORF41" s="18"/>
      <c r="ORG41" s="12"/>
      <c r="ORH41" s="19"/>
      <c r="ORI41" s="16"/>
      <c r="ORJ41" s="18"/>
      <c r="ORK41" s="13"/>
      <c r="ORL41" s="12"/>
      <c r="ORM41" s="18"/>
      <c r="ORN41" s="12"/>
      <c r="ORO41" s="19"/>
      <c r="ORP41" s="16"/>
      <c r="ORQ41" s="18"/>
      <c r="ORR41" s="13"/>
      <c r="ORS41" s="12"/>
      <c r="ORT41" s="18"/>
      <c r="ORU41" s="12"/>
      <c r="ORV41" s="19"/>
      <c r="ORW41" s="16"/>
      <c r="ORX41" s="18"/>
      <c r="ORY41" s="13"/>
      <c r="ORZ41" s="12"/>
      <c r="OSA41" s="18"/>
      <c r="OSB41" s="12"/>
      <c r="OSC41" s="19"/>
      <c r="OSD41" s="16"/>
      <c r="OSE41" s="18"/>
      <c r="OSF41" s="13"/>
      <c r="OSG41" s="12"/>
      <c r="OSH41" s="18"/>
      <c r="OSI41" s="12"/>
      <c r="OSJ41" s="19"/>
      <c r="OSK41" s="16"/>
      <c r="OSL41" s="18"/>
      <c r="OSM41" s="13"/>
      <c r="OSN41" s="12"/>
      <c r="OSO41" s="18"/>
      <c r="OSP41" s="12"/>
      <c r="OSQ41" s="19"/>
      <c r="OSR41" s="16"/>
      <c r="OSS41" s="18"/>
      <c r="OST41" s="13"/>
      <c r="OSU41" s="12"/>
      <c r="OSV41" s="18"/>
      <c r="OSW41" s="12"/>
      <c r="OSX41" s="19"/>
      <c r="OSY41" s="16"/>
      <c r="OSZ41" s="18"/>
      <c r="OTA41" s="13"/>
      <c r="OTB41" s="12"/>
      <c r="OTC41" s="18"/>
      <c r="OTD41" s="12"/>
      <c r="OTE41" s="19"/>
      <c r="OTF41" s="16"/>
      <c r="OTG41" s="18"/>
      <c r="OTH41" s="13"/>
      <c r="OTI41" s="12"/>
      <c r="OTJ41" s="18"/>
      <c r="OTK41" s="12"/>
      <c r="OTL41" s="19"/>
      <c r="OTM41" s="16"/>
      <c r="OTN41" s="18"/>
      <c r="OTO41" s="13"/>
      <c r="OTP41" s="12"/>
      <c r="OTQ41" s="18"/>
      <c r="OTR41" s="12"/>
      <c r="OTS41" s="19"/>
      <c r="OTT41" s="16"/>
      <c r="OTU41" s="18"/>
      <c r="OTV41" s="13"/>
      <c r="OTW41" s="12"/>
      <c r="OTX41" s="18"/>
      <c r="OTY41" s="12"/>
      <c r="OTZ41" s="19"/>
      <c r="OUA41" s="16"/>
      <c r="OUB41" s="18"/>
      <c r="OUC41" s="13"/>
      <c r="OUD41" s="12"/>
      <c r="OUE41" s="18"/>
      <c r="OUF41" s="12"/>
      <c r="OUG41" s="19"/>
      <c r="OUH41" s="16"/>
      <c r="OUI41" s="18"/>
      <c r="OUJ41" s="13"/>
      <c r="OUK41" s="12"/>
      <c r="OUL41" s="18"/>
      <c r="OUM41" s="12"/>
      <c r="OUN41" s="19"/>
      <c r="OUO41" s="16"/>
      <c r="OUP41" s="18"/>
      <c r="OUQ41" s="13"/>
      <c r="OUR41" s="12"/>
      <c r="OUS41" s="18"/>
      <c r="OUT41" s="12"/>
      <c r="OUU41" s="19"/>
      <c r="OUV41" s="16"/>
      <c r="OUW41" s="18"/>
      <c r="OUX41" s="13"/>
      <c r="OUY41" s="12"/>
      <c r="OUZ41" s="18"/>
      <c r="OVA41" s="12"/>
      <c r="OVB41" s="19"/>
      <c r="OVC41" s="16"/>
      <c r="OVD41" s="18"/>
      <c r="OVE41" s="13"/>
      <c r="OVF41" s="12"/>
      <c r="OVG41" s="18"/>
      <c r="OVH41" s="12"/>
      <c r="OVI41" s="19"/>
      <c r="OVJ41" s="16"/>
      <c r="OVK41" s="18"/>
      <c r="OVL41" s="13"/>
      <c r="OVM41" s="12"/>
      <c r="OVN41" s="18"/>
      <c r="OVO41" s="12"/>
      <c r="OVP41" s="19"/>
      <c r="OVQ41" s="16"/>
      <c r="OVR41" s="18"/>
      <c r="OVS41" s="13"/>
      <c r="OVT41" s="12"/>
      <c r="OVU41" s="18"/>
      <c r="OVV41" s="12"/>
      <c r="OVW41" s="19"/>
      <c r="OVX41" s="16"/>
      <c r="OVY41" s="18"/>
      <c r="OVZ41" s="13"/>
      <c r="OWA41" s="12"/>
      <c r="OWB41" s="18"/>
      <c r="OWC41" s="12"/>
      <c r="OWD41" s="19"/>
      <c r="OWE41" s="16"/>
      <c r="OWF41" s="18"/>
      <c r="OWG41" s="13"/>
      <c r="OWH41" s="12"/>
      <c r="OWI41" s="18"/>
      <c r="OWJ41" s="12"/>
      <c r="OWK41" s="19"/>
      <c r="OWL41" s="16"/>
      <c r="OWM41" s="18"/>
      <c r="OWN41" s="13"/>
      <c r="OWO41" s="12"/>
      <c r="OWP41" s="18"/>
      <c r="OWQ41" s="12"/>
      <c r="OWR41" s="19"/>
      <c r="OWS41" s="16"/>
      <c r="OWT41" s="18"/>
      <c r="OWU41" s="13"/>
      <c r="OWV41" s="12"/>
      <c r="OWW41" s="18"/>
      <c r="OWX41" s="12"/>
      <c r="OWY41" s="19"/>
      <c r="OWZ41" s="16"/>
      <c r="OXA41" s="18"/>
      <c r="OXB41" s="13"/>
      <c r="OXC41" s="12"/>
      <c r="OXD41" s="18"/>
      <c r="OXE41" s="12"/>
      <c r="OXF41" s="19"/>
      <c r="OXG41" s="16"/>
      <c r="OXH41" s="18"/>
      <c r="OXI41" s="13"/>
      <c r="OXJ41" s="12"/>
      <c r="OXK41" s="18"/>
      <c r="OXL41" s="12"/>
      <c r="OXM41" s="19"/>
      <c r="OXN41" s="16"/>
      <c r="OXO41" s="18"/>
      <c r="OXP41" s="13"/>
      <c r="OXQ41" s="12"/>
      <c r="OXR41" s="18"/>
      <c r="OXS41" s="12"/>
      <c r="OXT41" s="19"/>
      <c r="OXU41" s="16"/>
      <c r="OXV41" s="18"/>
      <c r="OXW41" s="13"/>
      <c r="OXX41" s="12"/>
      <c r="OXY41" s="18"/>
      <c r="OXZ41" s="12"/>
      <c r="OYA41" s="19"/>
      <c r="OYB41" s="16"/>
      <c r="OYC41" s="18"/>
      <c r="OYD41" s="13"/>
      <c r="OYE41" s="12"/>
      <c r="OYF41" s="18"/>
      <c r="OYG41" s="12"/>
      <c r="OYH41" s="19"/>
      <c r="OYI41" s="16"/>
      <c r="OYJ41" s="18"/>
      <c r="OYK41" s="13"/>
      <c r="OYL41" s="12"/>
      <c r="OYM41" s="18"/>
      <c r="OYN41" s="12"/>
      <c r="OYO41" s="19"/>
      <c r="OYP41" s="16"/>
      <c r="OYQ41" s="18"/>
      <c r="OYR41" s="13"/>
      <c r="OYS41" s="12"/>
      <c r="OYT41" s="18"/>
      <c r="OYU41" s="12"/>
      <c r="OYV41" s="19"/>
      <c r="OYW41" s="16"/>
      <c r="OYX41" s="18"/>
      <c r="OYY41" s="13"/>
      <c r="OYZ41" s="12"/>
      <c r="OZA41" s="18"/>
      <c r="OZB41" s="12"/>
      <c r="OZC41" s="19"/>
      <c r="OZD41" s="16"/>
      <c r="OZE41" s="18"/>
      <c r="OZF41" s="13"/>
      <c r="OZG41" s="12"/>
      <c r="OZH41" s="18"/>
      <c r="OZI41" s="12"/>
      <c r="OZJ41" s="19"/>
      <c r="OZK41" s="16"/>
      <c r="OZL41" s="18"/>
      <c r="OZM41" s="13"/>
      <c r="OZN41" s="12"/>
      <c r="OZO41" s="18"/>
      <c r="OZP41" s="12"/>
      <c r="OZQ41" s="19"/>
      <c r="OZR41" s="16"/>
      <c r="OZS41" s="18"/>
      <c r="OZT41" s="13"/>
      <c r="OZU41" s="12"/>
      <c r="OZV41" s="18"/>
      <c r="OZW41" s="12"/>
      <c r="OZX41" s="19"/>
      <c r="OZY41" s="16"/>
      <c r="OZZ41" s="18"/>
      <c r="PAA41" s="13"/>
      <c r="PAB41" s="12"/>
      <c r="PAC41" s="18"/>
      <c r="PAD41" s="12"/>
      <c r="PAE41" s="19"/>
      <c r="PAF41" s="16"/>
      <c r="PAG41" s="18"/>
      <c r="PAH41" s="13"/>
      <c r="PAI41" s="12"/>
      <c r="PAJ41" s="18"/>
      <c r="PAK41" s="12"/>
      <c r="PAL41" s="19"/>
      <c r="PAM41" s="16"/>
      <c r="PAN41" s="18"/>
      <c r="PAO41" s="13"/>
      <c r="PAP41" s="12"/>
      <c r="PAQ41" s="18"/>
      <c r="PAR41" s="12"/>
      <c r="PAS41" s="19"/>
      <c r="PAT41" s="16"/>
      <c r="PAU41" s="18"/>
      <c r="PAV41" s="13"/>
      <c r="PAW41" s="12"/>
      <c r="PAX41" s="18"/>
      <c r="PAY41" s="12"/>
      <c r="PAZ41" s="19"/>
      <c r="PBA41" s="16"/>
      <c r="PBB41" s="18"/>
      <c r="PBC41" s="13"/>
      <c r="PBD41" s="12"/>
      <c r="PBE41" s="18"/>
      <c r="PBF41" s="12"/>
      <c r="PBG41" s="19"/>
      <c r="PBH41" s="16"/>
      <c r="PBI41" s="18"/>
      <c r="PBJ41" s="13"/>
      <c r="PBK41" s="12"/>
      <c r="PBL41" s="18"/>
      <c r="PBM41" s="12"/>
      <c r="PBN41" s="19"/>
      <c r="PBO41" s="16"/>
      <c r="PBP41" s="18"/>
      <c r="PBQ41" s="13"/>
      <c r="PBR41" s="12"/>
      <c r="PBS41" s="18"/>
      <c r="PBT41" s="12"/>
      <c r="PBU41" s="19"/>
      <c r="PBV41" s="16"/>
      <c r="PBW41" s="18"/>
      <c r="PBX41" s="13"/>
      <c r="PBY41" s="12"/>
      <c r="PBZ41" s="18"/>
      <c r="PCA41" s="12"/>
      <c r="PCB41" s="19"/>
      <c r="PCC41" s="16"/>
      <c r="PCD41" s="18"/>
      <c r="PCE41" s="13"/>
      <c r="PCF41" s="12"/>
      <c r="PCG41" s="18"/>
      <c r="PCH41" s="12"/>
      <c r="PCI41" s="19"/>
      <c r="PCJ41" s="16"/>
      <c r="PCK41" s="18"/>
      <c r="PCL41" s="13"/>
      <c r="PCM41" s="12"/>
      <c r="PCN41" s="18"/>
      <c r="PCO41" s="12"/>
      <c r="PCP41" s="19"/>
      <c r="PCQ41" s="16"/>
      <c r="PCR41" s="18"/>
      <c r="PCS41" s="13"/>
      <c r="PCT41" s="12"/>
      <c r="PCU41" s="18"/>
      <c r="PCV41" s="12"/>
      <c r="PCW41" s="19"/>
      <c r="PCX41" s="16"/>
      <c r="PCY41" s="18"/>
      <c r="PCZ41" s="13"/>
      <c r="PDA41" s="12"/>
      <c r="PDB41" s="18"/>
      <c r="PDC41" s="12"/>
      <c r="PDD41" s="19"/>
      <c r="PDE41" s="16"/>
      <c r="PDF41" s="18"/>
      <c r="PDG41" s="13"/>
      <c r="PDH41" s="12"/>
      <c r="PDI41" s="18"/>
      <c r="PDJ41" s="12"/>
      <c r="PDK41" s="19"/>
      <c r="PDL41" s="16"/>
      <c r="PDM41" s="18"/>
      <c r="PDN41" s="13"/>
      <c r="PDO41" s="12"/>
      <c r="PDP41" s="18"/>
      <c r="PDQ41" s="12"/>
      <c r="PDR41" s="19"/>
      <c r="PDS41" s="16"/>
      <c r="PDT41" s="18"/>
      <c r="PDU41" s="13"/>
      <c r="PDV41" s="12"/>
      <c r="PDW41" s="18"/>
      <c r="PDX41" s="12"/>
      <c r="PDY41" s="19"/>
      <c r="PDZ41" s="16"/>
      <c r="PEA41" s="18"/>
      <c r="PEB41" s="13"/>
      <c r="PEC41" s="12"/>
      <c r="PED41" s="18"/>
      <c r="PEE41" s="12"/>
      <c r="PEF41" s="19"/>
      <c r="PEG41" s="16"/>
      <c r="PEH41" s="18"/>
      <c r="PEI41" s="13"/>
      <c r="PEJ41" s="12"/>
      <c r="PEK41" s="18"/>
      <c r="PEL41" s="12"/>
      <c r="PEM41" s="19"/>
      <c r="PEN41" s="16"/>
      <c r="PEO41" s="18"/>
      <c r="PEP41" s="13"/>
      <c r="PEQ41" s="12"/>
      <c r="PER41" s="18"/>
      <c r="PES41" s="12"/>
      <c r="PET41" s="19"/>
      <c r="PEU41" s="16"/>
      <c r="PEV41" s="18"/>
      <c r="PEW41" s="13"/>
      <c r="PEX41" s="12"/>
      <c r="PEY41" s="18"/>
      <c r="PEZ41" s="12"/>
      <c r="PFA41" s="19"/>
      <c r="PFB41" s="16"/>
      <c r="PFC41" s="18"/>
      <c r="PFD41" s="13"/>
      <c r="PFE41" s="12"/>
      <c r="PFF41" s="18"/>
      <c r="PFG41" s="12"/>
      <c r="PFH41" s="19"/>
      <c r="PFI41" s="16"/>
      <c r="PFJ41" s="18"/>
      <c r="PFK41" s="13"/>
      <c r="PFL41" s="12"/>
      <c r="PFM41" s="18"/>
      <c r="PFN41" s="12"/>
      <c r="PFO41" s="19"/>
      <c r="PFP41" s="16"/>
      <c r="PFQ41" s="18"/>
      <c r="PFR41" s="13"/>
      <c r="PFS41" s="12"/>
      <c r="PFT41" s="18"/>
      <c r="PFU41" s="12"/>
      <c r="PFV41" s="19"/>
      <c r="PFW41" s="16"/>
      <c r="PFX41" s="18"/>
      <c r="PFY41" s="13"/>
      <c r="PFZ41" s="12"/>
      <c r="PGA41" s="18"/>
      <c r="PGB41" s="12"/>
      <c r="PGC41" s="19"/>
      <c r="PGD41" s="16"/>
      <c r="PGE41" s="18"/>
      <c r="PGF41" s="13"/>
      <c r="PGG41" s="12"/>
      <c r="PGH41" s="18"/>
      <c r="PGI41" s="12"/>
      <c r="PGJ41" s="19"/>
      <c r="PGK41" s="16"/>
      <c r="PGL41" s="18"/>
      <c r="PGM41" s="13"/>
      <c r="PGN41" s="12"/>
      <c r="PGO41" s="18"/>
      <c r="PGP41" s="12"/>
      <c r="PGQ41" s="19"/>
      <c r="PGR41" s="16"/>
      <c r="PGS41" s="18"/>
      <c r="PGT41" s="13"/>
      <c r="PGU41" s="12"/>
      <c r="PGV41" s="18"/>
      <c r="PGW41" s="12"/>
      <c r="PGX41" s="19"/>
      <c r="PGY41" s="16"/>
      <c r="PGZ41" s="18"/>
      <c r="PHA41" s="13"/>
      <c r="PHB41" s="12"/>
      <c r="PHC41" s="18"/>
      <c r="PHD41" s="12"/>
      <c r="PHE41" s="19"/>
      <c r="PHF41" s="16"/>
      <c r="PHG41" s="18"/>
      <c r="PHH41" s="13"/>
      <c r="PHI41" s="12"/>
      <c r="PHJ41" s="18"/>
      <c r="PHK41" s="12"/>
      <c r="PHL41" s="19"/>
      <c r="PHM41" s="16"/>
      <c r="PHN41" s="18"/>
      <c r="PHO41" s="13"/>
      <c r="PHP41" s="12"/>
      <c r="PHQ41" s="18"/>
      <c r="PHR41" s="12"/>
      <c r="PHS41" s="19"/>
      <c r="PHT41" s="16"/>
      <c r="PHU41" s="18"/>
      <c r="PHV41" s="13"/>
      <c r="PHW41" s="12"/>
      <c r="PHX41" s="18"/>
      <c r="PHY41" s="12"/>
      <c r="PHZ41" s="19"/>
      <c r="PIA41" s="16"/>
      <c r="PIB41" s="18"/>
      <c r="PIC41" s="13"/>
      <c r="PID41" s="12"/>
      <c r="PIE41" s="18"/>
      <c r="PIF41" s="12"/>
      <c r="PIG41" s="19"/>
      <c r="PIH41" s="16"/>
      <c r="PII41" s="18"/>
      <c r="PIJ41" s="13"/>
      <c r="PIK41" s="12"/>
      <c r="PIL41" s="18"/>
      <c r="PIM41" s="12"/>
      <c r="PIN41" s="19"/>
      <c r="PIO41" s="16"/>
      <c r="PIP41" s="18"/>
      <c r="PIQ41" s="13"/>
      <c r="PIR41" s="12"/>
      <c r="PIS41" s="18"/>
      <c r="PIT41" s="12"/>
      <c r="PIU41" s="19"/>
      <c r="PIV41" s="16"/>
      <c r="PIW41" s="18"/>
      <c r="PIX41" s="13"/>
      <c r="PIY41" s="12"/>
      <c r="PIZ41" s="18"/>
      <c r="PJA41" s="12"/>
      <c r="PJB41" s="19"/>
      <c r="PJC41" s="16"/>
      <c r="PJD41" s="18"/>
      <c r="PJE41" s="13"/>
      <c r="PJF41" s="12"/>
      <c r="PJG41" s="18"/>
      <c r="PJH41" s="12"/>
      <c r="PJI41" s="19"/>
      <c r="PJJ41" s="16"/>
      <c r="PJK41" s="18"/>
      <c r="PJL41" s="13"/>
      <c r="PJM41" s="12"/>
      <c r="PJN41" s="18"/>
      <c r="PJO41" s="12"/>
      <c r="PJP41" s="19"/>
      <c r="PJQ41" s="16"/>
      <c r="PJR41" s="18"/>
      <c r="PJS41" s="13"/>
      <c r="PJT41" s="12"/>
      <c r="PJU41" s="18"/>
      <c r="PJV41" s="12"/>
      <c r="PJW41" s="19"/>
      <c r="PJX41" s="16"/>
      <c r="PJY41" s="18"/>
      <c r="PJZ41" s="13"/>
      <c r="PKA41" s="12"/>
      <c r="PKB41" s="18"/>
      <c r="PKC41" s="12"/>
      <c r="PKD41" s="19"/>
      <c r="PKE41" s="16"/>
      <c r="PKF41" s="18"/>
      <c r="PKG41" s="13"/>
      <c r="PKH41" s="12"/>
      <c r="PKI41" s="18"/>
      <c r="PKJ41" s="12"/>
      <c r="PKK41" s="19"/>
      <c r="PKL41" s="16"/>
      <c r="PKM41" s="18"/>
      <c r="PKN41" s="13"/>
      <c r="PKO41" s="12"/>
      <c r="PKP41" s="18"/>
      <c r="PKQ41" s="12"/>
      <c r="PKR41" s="19"/>
      <c r="PKS41" s="16"/>
      <c r="PKT41" s="18"/>
      <c r="PKU41" s="13"/>
      <c r="PKV41" s="12"/>
      <c r="PKW41" s="18"/>
      <c r="PKX41" s="12"/>
      <c r="PKY41" s="19"/>
      <c r="PKZ41" s="16"/>
      <c r="PLA41" s="18"/>
      <c r="PLB41" s="13"/>
      <c r="PLC41" s="12"/>
      <c r="PLD41" s="18"/>
      <c r="PLE41" s="12"/>
      <c r="PLF41" s="19"/>
      <c r="PLG41" s="16"/>
      <c r="PLH41" s="18"/>
      <c r="PLI41" s="13"/>
      <c r="PLJ41" s="12"/>
      <c r="PLK41" s="18"/>
      <c r="PLL41" s="12"/>
      <c r="PLM41" s="19"/>
      <c r="PLN41" s="16"/>
      <c r="PLO41" s="18"/>
      <c r="PLP41" s="13"/>
      <c r="PLQ41" s="12"/>
      <c r="PLR41" s="18"/>
      <c r="PLS41" s="12"/>
      <c r="PLT41" s="19"/>
      <c r="PLU41" s="16"/>
      <c r="PLV41" s="18"/>
      <c r="PLW41" s="13"/>
      <c r="PLX41" s="12"/>
      <c r="PLY41" s="18"/>
      <c r="PLZ41" s="12"/>
      <c r="PMA41" s="19"/>
      <c r="PMB41" s="16"/>
      <c r="PMC41" s="18"/>
      <c r="PMD41" s="13"/>
      <c r="PME41" s="12"/>
      <c r="PMF41" s="18"/>
      <c r="PMG41" s="12"/>
      <c r="PMH41" s="19"/>
      <c r="PMI41" s="16"/>
      <c r="PMJ41" s="18"/>
      <c r="PMK41" s="13"/>
      <c r="PML41" s="12"/>
      <c r="PMM41" s="18"/>
      <c r="PMN41" s="12"/>
      <c r="PMO41" s="19"/>
      <c r="PMP41" s="16"/>
      <c r="PMQ41" s="18"/>
      <c r="PMR41" s="13"/>
      <c r="PMS41" s="12"/>
      <c r="PMT41" s="18"/>
      <c r="PMU41" s="12"/>
      <c r="PMV41" s="19"/>
      <c r="PMW41" s="16"/>
      <c r="PMX41" s="18"/>
      <c r="PMY41" s="13"/>
      <c r="PMZ41" s="12"/>
      <c r="PNA41" s="18"/>
      <c r="PNB41" s="12"/>
      <c r="PNC41" s="19"/>
      <c r="PND41" s="16"/>
      <c r="PNE41" s="18"/>
      <c r="PNF41" s="13"/>
      <c r="PNG41" s="12"/>
      <c r="PNH41" s="18"/>
      <c r="PNI41" s="12"/>
      <c r="PNJ41" s="19"/>
      <c r="PNK41" s="16"/>
      <c r="PNL41" s="18"/>
      <c r="PNM41" s="13"/>
      <c r="PNN41" s="12"/>
      <c r="PNO41" s="18"/>
      <c r="PNP41" s="12"/>
      <c r="PNQ41" s="19"/>
      <c r="PNR41" s="16"/>
      <c r="PNS41" s="18"/>
      <c r="PNT41" s="13"/>
      <c r="PNU41" s="12"/>
      <c r="PNV41" s="18"/>
      <c r="PNW41" s="12"/>
      <c r="PNX41" s="19"/>
      <c r="PNY41" s="16"/>
      <c r="PNZ41" s="18"/>
      <c r="POA41" s="13"/>
      <c r="POB41" s="12"/>
      <c r="POC41" s="18"/>
      <c r="POD41" s="12"/>
      <c r="POE41" s="19"/>
      <c r="POF41" s="16"/>
      <c r="POG41" s="18"/>
      <c r="POH41" s="13"/>
      <c r="POI41" s="12"/>
      <c r="POJ41" s="18"/>
      <c r="POK41" s="12"/>
      <c r="POL41" s="19"/>
      <c r="POM41" s="16"/>
      <c r="PON41" s="18"/>
      <c r="POO41" s="13"/>
      <c r="POP41" s="12"/>
      <c r="POQ41" s="18"/>
      <c r="POR41" s="12"/>
      <c r="POS41" s="19"/>
      <c r="POT41" s="16"/>
      <c r="POU41" s="18"/>
      <c r="POV41" s="13"/>
      <c r="POW41" s="12"/>
      <c r="POX41" s="18"/>
      <c r="POY41" s="12"/>
      <c r="POZ41" s="19"/>
      <c r="PPA41" s="16"/>
      <c r="PPB41" s="18"/>
      <c r="PPC41" s="13"/>
      <c r="PPD41" s="12"/>
      <c r="PPE41" s="18"/>
      <c r="PPF41" s="12"/>
      <c r="PPG41" s="19"/>
      <c r="PPH41" s="16"/>
      <c r="PPI41" s="18"/>
      <c r="PPJ41" s="13"/>
      <c r="PPK41" s="12"/>
      <c r="PPL41" s="18"/>
      <c r="PPM41" s="12"/>
      <c r="PPN41" s="19"/>
      <c r="PPO41" s="16"/>
      <c r="PPP41" s="18"/>
      <c r="PPQ41" s="13"/>
      <c r="PPR41" s="12"/>
      <c r="PPS41" s="18"/>
      <c r="PPT41" s="12"/>
      <c r="PPU41" s="19"/>
      <c r="PPV41" s="16"/>
      <c r="PPW41" s="18"/>
      <c r="PPX41" s="13"/>
      <c r="PPY41" s="12"/>
      <c r="PPZ41" s="18"/>
      <c r="PQA41" s="12"/>
      <c r="PQB41" s="19"/>
      <c r="PQC41" s="16"/>
      <c r="PQD41" s="18"/>
      <c r="PQE41" s="13"/>
      <c r="PQF41" s="12"/>
      <c r="PQG41" s="18"/>
      <c r="PQH41" s="12"/>
      <c r="PQI41" s="19"/>
      <c r="PQJ41" s="16"/>
      <c r="PQK41" s="18"/>
      <c r="PQL41" s="13"/>
      <c r="PQM41" s="12"/>
      <c r="PQN41" s="18"/>
      <c r="PQO41" s="12"/>
      <c r="PQP41" s="19"/>
      <c r="PQQ41" s="16"/>
      <c r="PQR41" s="18"/>
      <c r="PQS41" s="13"/>
      <c r="PQT41" s="12"/>
      <c r="PQU41" s="18"/>
      <c r="PQV41" s="12"/>
      <c r="PQW41" s="19"/>
      <c r="PQX41" s="16"/>
      <c r="PQY41" s="18"/>
      <c r="PQZ41" s="13"/>
      <c r="PRA41" s="12"/>
      <c r="PRB41" s="18"/>
      <c r="PRC41" s="12"/>
      <c r="PRD41" s="19"/>
      <c r="PRE41" s="16"/>
      <c r="PRF41" s="18"/>
      <c r="PRG41" s="13"/>
      <c r="PRH41" s="12"/>
      <c r="PRI41" s="18"/>
      <c r="PRJ41" s="12"/>
      <c r="PRK41" s="19"/>
      <c r="PRL41" s="16"/>
      <c r="PRM41" s="18"/>
      <c r="PRN41" s="13"/>
      <c r="PRO41" s="12"/>
      <c r="PRP41" s="18"/>
      <c r="PRQ41" s="12"/>
      <c r="PRR41" s="19"/>
      <c r="PRS41" s="16"/>
      <c r="PRT41" s="18"/>
      <c r="PRU41" s="13"/>
      <c r="PRV41" s="12"/>
      <c r="PRW41" s="18"/>
      <c r="PRX41" s="12"/>
      <c r="PRY41" s="19"/>
      <c r="PRZ41" s="16"/>
      <c r="PSA41" s="18"/>
      <c r="PSB41" s="13"/>
      <c r="PSC41" s="12"/>
      <c r="PSD41" s="18"/>
      <c r="PSE41" s="12"/>
      <c r="PSF41" s="19"/>
      <c r="PSG41" s="16"/>
      <c r="PSH41" s="18"/>
      <c r="PSI41" s="13"/>
      <c r="PSJ41" s="12"/>
      <c r="PSK41" s="18"/>
      <c r="PSL41" s="12"/>
      <c r="PSM41" s="19"/>
      <c r="PSN41" s="16"/>
      <c r="PSO41" s="18"/>
      <c r="PSP41" s="13"/>
      <c r="PSQ41" s="12"/>
      <c r="PSR41" s="18"/>
      <c r="PSS41" s="12"/>
      <c r="PST41" s="19"/>
      <c r="PSU41" s="16"/>
      <c r="PSV41" s="18"/>
      <c r="PSW41" s="13"/>
      <c r="PSX41" s="12"/>
      <c r="PSY41" s="18"/>
      <c r="PSZ41" s="12"/>
      <c r="PTA41" s="19"/>
      <c r="PTB41" s="16"/>
      <c r="PTC41" s="18"/>
      <c r="PTD41" s="13"/>
      <c r="PTE41" s="12"/>
      <c r="PTF41" s="18"/>
      <c r="PTG41" s="12"/>
      <c r="PTH41" s="19"/>
      <c r="PTI41" s="16"/>
      <c r="PTJ41" s="18"/>
      <c r="PTK41" s="13"/>
      <c r="PTL41" s="12"/>
      <c r="PTM41" s="18"/>
      <c r="PTN41" s="12"/>
      <c r="PTO41" s="19"/>
      <c r="PTP41" s="16"/>
      <c r="PTQ41" s="18"/>
      <c r="PTR41" s="13"/>
      <c r="PTS41" s="12"/>
      <c r="PTT41" s="18"/>
      <c r="PTU41" s="12"/>
      <c r="PTV41" s="19"/>
      <c r="PTW41" s="16"/>
      <c r="PTX41" s="18"/>
      <c r="PTY41" s="13"/>
      <c r="PTZ41" s="12"/>
      <c r="PUA41" s="18"/>
      <c r="PUB41" s="12"/>
      <c r="PUC41" s="19"/>
      <c r="PUD41" s="16"/>
      <c r="PUE41" s="18"/>
      <c r="PUF41" s="13"/>
      <c r="PUG41" s="12"/>
      <c r="PUH41" s="18"/>
      <c r="PUI41" s="12"/>
      <c r="PUJ41" s="19"/>
      <c r="PUK41" s="16"/>
      <c r="PUL41" s="18"/>
      <c r="PUM41" s="13"/>
      <c r="PUN41" s="12"/>
      <c r="PUO41" s="18"/>
      <c r="PUP41" s="12"/>
      <c r="PUQ41" s="19"/>
      <c r="PUR41" s="16"/>
      <c r="PUS41" s="18"/>
      <c r="PUT41" s="13"/>
      <c r="PUU41" s="12"/>
      <c r="PUV41" s="18"/>
      <c r="PUW41" s="12"/>
      <c r="PUX41" s="19"/>
      <c r="PUY41" s="16"/>
      <c r="PUZ41" s="18"/>
      <c r="PVA41" s="13"/>
      <c r="PVB41" s="12"/>
      <c r="PVC41" s="18"/>
      <c r="PVD41" s="12"/>
      <c r="PVE41" s="19"/>
      <c r="PVF41" s="16"/>
      <c r="PVG41" s="18"/>
      <c r="PVH41" s="13"/>
      <c r="PVI41" s="12"/>
      <c r="PVJ41" s="18"/>
      <c r="PVK41" s="12"/>
      <c r="PVL41" s="19"/>
      <c r="PVM41" s="16"/>
      <c r="PVN41" s="18"/>
      <c r="PVO41" s="13"/>
      <c r="PVP41" s="12"/>
      <c r="PVQ41" s="18"/>
      <c r="PVR41" s="12"/>
      <c r="PVS41" s="19"/>
      <c r="PVT41" s="16"/>
      <c r="PVU41" s="18"/>
      <c r="PVV41" s="13"/>
      <c r="PVW41" s="12"/>
      <c r="PVX41" s="18"/>
      <c r="PVY41" s="12"/>
      <c r="PVZ41" s="19"/>
      <c r="PWA41" s="16"/>
      <c r="PWB41" s="18"/>
      <c r="PWC41" s="13"/>
      <c r="PWD41" s="12"/>
      <c r="PWE41" s="18"/>
      <c r="PWF41" s="12"/>
      <c r="PWG41" s="19"/>
      <c r="PWH41" s="16"/>
      <c r="PWI41" s="18"/>
      <c r="PWJ41" s="13"/>
      <c r="PWK41" s="12"/>
      <c r="PWL41" s="18"/>
      <c r="PWM41" s="12"/>
      <c r="PWN41" s="19"/>
      <c r="PWO41" s="16"/>
      <c r="PWP41" s="18"/>
      <c r="PWQ41" s="13"/>
      <c r="PWR41" s="12"/>
      <c r="PWS41" s="18"/>
      <c r="PWT41" s="12"/>
      <c r="PWU41" s="19"/>
      <c r="PWV41" s="16"/>
      <c r="PWW41" s="18"/>
      <c r="PWX41" s="13"/>
      <c r="PWY41" s="12"/>
      <c r="PWZ41" s="18"/>
      <c r="PXA41" s="12"/>
      <c r="PXB41" s="19"/>
      <c r="PXC41" s="16"/>
      <c r="PXD41" s="18"/>
      <c r="PXE41" s="13"/>
      <c r="PXF41" s="12"/>
      <c r="PXG41" s="18"/>
      <c r="PXH41" s="12"/>
      <c r="PXI41" s="19"/>
      <c r="PXJ41" s="16"/>
      <c r="PXK41" s="18"/>
      <c r="PXL41" s="13"/>
      <c r="PXM41" s="12"/>
      <c r="PXN41" s="18"/>
      <c r="PXO41" s="12"/>
      <c r="PXP41" s="19"/>
      <c r="PXQ41" s="16"/>
      <c r="PXR41" s="18"/>
      <c r="PXS41" s="13"/>
      <c r="PXT41" s="12"/>
      <c r="PXU41" s="18"/>
      <c r="PXV41" s="12"/>
      <c r="PXW41" s="19"/>
      <c r="PXX41" s="16"/>
      <c r="PXY41" s="18"/>
      <c r="PXZ41" s="13"/>
      <c r="PYA41" s="12"/>
      <c r="PYB41" s="18"/>
      <c r="PYC41" s="12"/>
      <c r="PYD41" s="19"/>
      <c r="PYE41" s="16"/>
      <c r="PYF41" s="18"/>
      <c r="PYG41" s="13"/>
      <c r="PYH41" s="12"/>
      <c r="PYI41" s="18"/>
      <c r="PYJ41" s="12"/>
      <c r="PYK41" s="19"/>
      <c r="PYL41" s="16"/>
      <c r="PYM41" s="18"/>
      <c r="PYN41" s="13"/>
      <c r="PYO41" s="12"/>
      <c r="PYP41" s="18"/>
      <c r="PYQ41" s="12"/>
      <c r="PYR41" s="19"/>
      <c r="PYS41" s="16"/>
      <c r="PYT41" s="18"/>
      <c r="PYU41" s="13"/>
      <c r="PYV41" s="12"/>
      <c r="PYW41" s="18"/>
      <c r="PYX41" s="12"/>
      <c r="PYY41" s="19"/>
      <c r="PYZ41" s="16"/>
      <c r="PZA41" s="18"/>
      <c r="PZB41" s="13"/>
      <c r="PZC41" s="12"/>
      <c r="PZD41" s="18"/>
      <c r="PZE41" s="12"/>
      <c r="PZF41" s="19"/>
      <c r="PZG41" s="16"/>
      <c r="PZH41" s="18"/>
      <c r="PZI41" s="13"/>
      <c r="PZJ41" s="12"/>
      <c r="PZK41" s="18"/>
      <c r="PZL41" s="12"/>
      <c r="PZM41" s="19"/>
      <c r="PZN41" s="16"/>
      <c r="PZO41" s="18"/>
      <c r="PZP41" s="13"/>
      <c r="PZQ41" s="12"/>
      <c r="PZR41" s="18"/>
      <c r="PZS41" s="12"/>
      <c r="PZT41" s="19"/>
      <c r="PZU41" s="16"/>
      <c r="PZV41" s="18"/>
      <c r="PZW41" s="13"/>
      <c r="PZX41" s="12"/>
      <c r="PZY41" s="18"/>
      <c r="PZZ41" s="12"/>
      <c r="QAA41" s="19"/>
      <c r="QAB41" s="16"/>
      <c r="QAC41" s="18"/>
      <c r="QAD41" s="13"/>
      <c r="QAE41" s="12"/>
      <c r="QAF41" s="18"/>
      <c r="QAG41" s="12"/>
      <c r="QAH41" s="19"/>
      <c r="QAI41" s="16"/>
      <c r="QAJ41" s="18"/>
      <c r="QAK41" s="13"/>
      <c r="QAL41" s="12"/>
      <c r="QAM41" s="18"/>
      <c r="QAN41" s="12"/>
      <c r="QAO41" s="19"/>
      <c r="QAP41" s="16"/>
      <c r="QAQ41" s="18"/>
      <c r="QAR41" s="13"/>
      <c r="QAS41" s="12"/>
      <c r="QAT41" s="18"/>
      <c r="QAU41" s="12"/>
      <c r="QAV41" s="19"/>
      <c r="QAW41" s="16"/>
      <c r="QAX41" s="18"/>
      <c r="QAY41" s="13"/>
      <c r="QAZ41" s="12"/>
      <c r="QBA41" s="18"/>
      <c r="QBB41" s="12"/>
      <c r="QBC41" s="19"/>
      <c r="QBD41" s="16"/>
      <c r="QBE41" s="18"/>
      <c r="QBF41" s="13"/>
      <c r="QBG41" s="12"/>
      <c r="QBH41" s="18"/>
      <c r="QBI41" s="12"/>
      <c r="QBJ41" s="19"/>
      <c r="QBK41" s="16"/>
      <c r="QBL41" s="18"/>
      <c r="QBM41" s="13"/>
      <c r="QBN41" s="12"/>
      <c r="QBO41" s="18"/>
      <c r="QBP41" s="12"/>
      <c r="QBQ41" s="19"/>
      <c r="QBR41" s="16"/>
      <c r="QBS41" s="18"/>
      <c r="QBT41" s="13"/>
      <c r="QBU41" s="12"/>
      <c r="QBV41" s="18"/>
      <c r="QBW41" s="12"/>
      <c r="QBX41" s="19"/>
      <c r="QBY41" s="16"/>
      <c r="QBZ41" s="18"/>
      <c r="QCA41" s="13"/>
      <c r="QCB41" s="12"/>
      <c r="QCC41" s="18"/>
      <c r="QCD41" s="12"/>
      <c r="QCE41" s="19"/>
      <c r="QCF41" s="16"/>
      <c r="QCG41" s="18"/>
      <c r="QCH41" s="13"/>
      <c r="QCI41" s="12"/>
      <c r="QCJ41" s="18"/>
      <c r="QCK41" s="12"/>
      <c r="QCL41" s="19"/>
      <c r="QCM41" s="16"/>
      <c r="QCN41" s="18"/>
      <c r="QCO41" s="13"/>
      <c r="QCP41" s="12"/>
      <c r="QCQ41" s="18"/>
      <c r="QCR41" s="12"/>
      <c r="QCS41" s="19"/>
      <c r="QCT41" s="16"/>
      <c r="QCU41" s="18"/>
      <c r="QCV41" s="13"/>
      <c r="QCW41" s="12"/>
      <c r="QCX41" s="18"/>
      <c r="QCY41" s="12"/>
      <c r="QCZ41" s="19"/>
      <c r="QDA41" s="16"/>
      <c r="QDB41" s="18"/>
      <c r="QDC41" s="13"/>
      <c r="QDD41" s="12"/>
      <c r="QDE41" s="18"/>
      <c r="QDF41" s="12"/>
      <c r="QDG41" s="19"/>
      <c r="QDH41" s="16"/>
      <c r="QDI41" s="18"/>
      <c r="QDJ41" s="13"/>
      <c r="QDK41" s="12"/>
      <c r="QDL41" s="18"/>
      <c r="QDM41" s="12"/>
      <c r="QDN41" s="19"/>
      <c r="QDO41" s="16"/>
      <c r="QDP41" s="18"/>
      <c r="QDQ41" s="13"/>
      <c r="QDR41" s="12"/>
      <c r="QDS41" s="18"/>
      <c r="QDT41" s="12"/>
      <c r="QDU41" s="19"/>
      <c r="QDV41" s="16"/>
      <c r="QDW41" s="18"/>
      <c r="QDX41" s="13"/>
      <c r="QDY41" s="12"/>
      <c r="QDZ41" s="18"/>
      <c r="QEA41" s="12"/>
      <c r="QEB41" s="19"/>
      <c r="QEC41" s="16"/>
      <c r="QED41" s="18"/>
      <c r="QEE41" s="13"/>
      <c r="QEF41" s="12"/>
      <c r="QEG41" s="18"/>
      <c r="QEH41" s="12"/>
      <c r="QEI41" s="19"/>
      <c r="QEJ41" s="16"/>
      <c r="QEK41" s="18"/>
      <c r="QEL41" s="13"/>
      <c r="QEM41" s="12"/>
      <c r="QEN41" s="18"/>
      <c r="QEO41" s="12"/>
      <c r="QEP41" s="19"/>
      <c r="QEQ41" s="16"/>
      <c r="QER41" s="18"/>
      <c r="QES41" s="13"/>
      <c r="QET41" s="12"/>
      <c r="QEU41" s="18"/>
      <c r="QEV41" s="12"/>
      <c r="QEW41" s="19"/>
      <c r="QEX41" s="16"/>
      <c r="QEY41" s="18"/>
      <c r="QEZ41" s="13"/>
      <c r="QFA41" s="12"/>
      <c r="QFB41" s="18"/>
      <c r="QFC41" s="12"/>
      <c r="QFD41" s="19"/>
      <c r="QFE41" s="16"/>
      <c r="QFF41" s="18"/>
      <c r="QFG41" s="13"/>
      <c r="QFH41" s="12"/>
      <c r="QFI41" s="18"/>
      <c r="QFJ41" s="12"/>
      <c r="QFK41" s="19"/>
      <c r="QFL41" s="16"/>
      <c r="QFM41" s="18"/>
      <c r="QFN41" s="13"/>
      <c r="QFO41" s="12"/>
      <c r="QFP41" s="18"/>
      <c r="QFQ41" s="12"/>
      <c r="QFR41" s="19"/>
      <c r="QFS41" s="16"/>
      <c r="QFT41" s="18"/>
      <c r="QFU41" s="13"/>
      <c r="QFV41" s="12"/>
      <c r="QFW41" s="18"/>
      <c r="QFX41" s="12"/>
      <c r="QFY41" s="19"/>
      <c r="QFZ41" s="16"/>
      <c r="QGA41" s="18"/>
      <c r="QGB41" s="13"/>
      <c r="QGC41" s="12"/>
      <c r="QGD41" s="18"/>
      <c r="QGE41" s="12"/>
      <c r="QGF41" s="19"/>
      <c r="QGG41" s="16"/>
      <c r="QGH41" s="18"/>
      <c r="QGI41" s="13"/>
      <c r="QGJ41" s="12"/>
      <c r="QGK41" s="18"/>
      <c r="QGL41" s="12"/>
      <c r="QGM41" s="19"/>
      <c r="QGN41" s="16"/>
      <c r="QGO41" s="18"/>
      <c r="QGP41" s="13"/>
      <c r="QGQ41" s="12"/>
      <c r="QGR41" s="18"/>
      <c r="QGS41" s="12"/>
      <c r="QGT41" s="19"/>
      <c r="QGU41" s="16"/>
      <c r="QGV41" s="18"/>
      <c r="QGW41" s="13"/>
      <c r="QGX41" s="12"/>
      <c r="QGY41" s="18"/>
      <c r="QGZ41" s="12"/>
      <c r="QHA41" s="19"/>
      <c r="QHB41" s="16"/>
      <c r="QHC41" s="18"/>
      <c r="QHD41" s="13"/>
      <c r="QHE41" s="12"/>
      <c r="QHF41" s="18"/>
      <c r="QHG41" s="12"/>
      <c r="QHH41" s="19"/>
      <c r="QHI41" s="16"/>
      <c r="QHJ41" s="18"/>
      <c r="QHK41" s="13"/>
      <c r="QHL41" s="12"/>
      <c r="QHM41" s="18"/>
      <c r="QHN41" s="12"/>
      <c r="QHO41" s="19"/>
      <c r="QHP41" s="16"/>
      <c r="QHQ41" s="18"/>
      <c r="QHR41" s="13"/>
      <c r="QHS41" s="12"/>
      <c r="QHT41" s="18"/>
      <c r="QHU41" s="12"/>
      <c r="QHV41" s="19"/>
      <c r="QHW41" s="16"/>
      <c r="QHX41" s="18"/>
      <c r="QHY41" s="13"/>
      <c r="QHZ41" s="12"/>
      <c r="QIA41" s="18"/>
      <c r="QIB41" s="12"/>
      <c r="QIC41" s="19"/>
      <c r="QID41" s="16"/>
      <c r="QIE41" s="18"/>
      <c r="QIF41" s="13"/>
      <c r="QIG41" s="12"/>
      <c r="QIH41" s="18"/>
      <c r="QII41" s="12"/>
      <c r="QIJ41" s="19"/>
      <c r="QIK41" s="16"/>
      <c r="QIL41" s="18"/>
      <c r="QIM41" s="13"/>
      <c r="QIN41" s="12"/>
      <c r="QIO41" s="18"/>
      <c r="QIP41" s="12"/>
      <c r="QIQ41" s="19"/>
      <c r="QIR41" s="16"/>
      <c r="QIS41" s="18"/>
      <c r="QIT41" s="13"/>
      <c r="QIU41" s="12"/>
      <c r="QIV41" s="18"/>
      <c r="QIW41" s="12"/>
      <c r="QIX41" s="19"/>
      <c r="QIY41" s="16"/>
      <c r="QIZ41" s="18"/>
      <c r="QJA41" s="13"/>
      <c r="QJB41" s="12"/>
      <c r="QJC41" s="18"/>
      <c r="QJD41" s="12"/>
      <c r="QJE41" s="19"/>
      <c r="QJF41" s="16"/>
      <c r="QJG41" s="18"/>
      <c r="QJH41" s="13"/>
      <c r="QJI41" s="12"/>
      <c r="QJJ41" s="18"/>
      <c r="QJK41" s="12"/>
      <c r="QJL41" s="19"/>
      <c r="QJM41" s="16"/>
      <c r="QJN41" s="18"/>
      <c r="QJO41" s="13"/>
      <c r="QJP41" s="12"/>
      <c r="QJQ41" s="18"/>
      <c r="QJR41" s="12"/>
      <c r="QJS41" s="19"/>
      <c r="QJT41" s="16"/>
      <c r="QJU41" s="18"/>
      <c r="QJV41" s="13"/>
      <c r="QJW41" s="12"/>
      <c r="QJX41" s="18"/>
      <c r="QJY41" s="12"/>
      <c r="QJZ41" s="19"/>
      <c r="QKA41" s="16"/>
      <c r="QKB41" s="18"/>
      <c r="QKC41" s="13"/>
      <c r="QKD41" s="12"/>
      <c r="QKE41" s="18"/>
      <c r="QKF41" s="12"/>
      <c r="QKG41" s="19"/>
      <c r="QKH41" s="16"/>
      <c r="QKI41" s="18"/>
      <c r="QKJ41" s="13"/>
      <c r="QKK41" s="12"/>
      <c r="QKL41" s="18"/>
      <c r="QKM41" s="12"/>
      <c r="QKN41" s="19"/>
      <c r="QKO41" s="16"/>
      <c r="QKP41" s="18"/>
      <c r="QKQ41" s="13"/>
      <c r="QKR41" s="12"/>
      <c r="QKS41" s="18"/>
      <c r="QKT41" s="12"/>
      <c r="QKU41" s="19"/>
      <c r="QKV41" s="16"/>
      <c r="QKW41" s="18"/>
      <c r="QKX41" s="13"/>
      <c r="QKY41" s="12"/>
      <c r="QKZ41" s="18"/>
      <c r="QLA41" s="12"/>
      <c r="QLB41" s="19"/>
      <c r="QLC41" s="16"/>
      <c r="QLD41" s="18"/>
      <c r="QLE41" s="13"/>
      <c r="QLF41" s="12"/>
      <c r="QLG41" s="18"/>
      <c r="QLH41" s="12"/>
      <c r="QLI41" s="19"/>
      <c r="QLJ41" s="16"/>
      <c r="QLK41" s="18"/>
      <c r="QLL41" s="13"/>
      <c r="QLM41" s="12"/>
      <c r="QLN41" s="18"/>
      <c r="QLO41" s="12"/>
      <c r="QLP41" s="19"/>
      <c r="QLQ41" s="16"/>
      <c r="QLR41" s="18"/>
      <c r="QLS41" s="13"/>
      <c r="QLT41" s="12"/>
      <c r="QLU41" s="18"/>
      <c r="QLV41" s="12"/>
      <c r="QLW41" s="19"/>
      <c r="QLX41" s="16"/>
      <c r="QLY41" s="18"/>
      <c r="QLZ41" s="13"/>
      <c r="QMA41" s="12"/>
      <c r="QMB41" s="18"/>
      <c r="QMC41" s="12"/>
      <c r="QMD41" s="19"/>
      <c r="QME41" s="16"/>
      <c r="QMF41" s="18"/>
      <c r="QMG41" s="13"/>
      <c r="QMH41" s="12"/>
      <c r="QMI41" s="18"/>
      <c r="QMJ41" s="12"/>
      <c r="QMK41" s="19"/>
      <c r="QML41" s="16"/>
      <c r="QMM41" s="18"/>
      <c r="QMN41" s="13"/>
      <c r="QMO41" s="12"/>
      <c r="QMP41" s="18"/>
      <c r="QMQ41" s="12"/>
      <c r="QMR41" s="19"/>
      <c r="QMS41" s="16"/>
      <c r="QMT41" s="18"/>
      <c r="QMU41" s="13"/>
      <c r="QMV41" s="12"/>
      <c r="QMW41" s="18"/>
      <c r="QMX41" s="12"/>
      <c r="QMY41" s="19"/>
      <c r="QMZ41" s="16"/>
      <c r="QNA41" s="18"/>
      <c r="QNB41" s="13"/>
      <c r="QNC41" s="12"/>
      <c r="QND41" s="18"/>
      <c r="QNE41" s="12"/>
      <c r="QNF41" s="19"/>
      <c r="QNG41" s="16"/>
      <c r="QNH41" s="18"/>
      <c r="QNI41" s="13"/>
      <c r="QNJ41" s="12"/>
      <c r="QNK41" s="18"/>
      <c r="QNL41" s="12"/>
      <c r="QNM41" s="19"/>
      <c r="QNN41" s="16"/>
      <c r="QNO41" s="18"/>
      <c r="QNP41" s="13"/>
      <c r="QNQ41" s="12"/>
      <c r="QNR41" s="18"/>
      <c r="QNS41" s="12"/>
      <c r="QNT41" s="19"/>
      <c r="QNU41" s="16"/>
      <c r="QNV41" s="18"/>
      <c r="QNW41" s="13"/>
      <c r="QNX41" s="12"/>
      <c r="QNY41" s="18"/>
      <c r="QNZ41" s="12"/>
      <c r="QOA41" s="19"/>
      <c r="QOB41" s="16"/>
      <c r="QOC41" s="18"/>
      <c r="QOD41" s="13"/>
      <c r="QOE41" s="12"/>
      <c r="QOF41" s="18"/>
      <c r="QOG41" s="12"/>
      <c r="QOH41" s="19"/>
      <c r="QOI41" s="16"/>
      <c r="QOJ41" s="18"/>
      <c r="QOK41" s="13"/>
      <c r="QOL41" s="12"/>
      <c r="QOM41" s="18"/>
      <c r="QON41" s="12"/>
      <c r="QOO41" s="19"/>
      <c r="QOP41" s="16"/>
      <c r="QOQ41" s="18"/>
      <c r="QOR41" s="13"/>
      <c r="QOS41" s="12"/>
      <c r="QOT41" s="18"/>
      <c r="QOU41" s="12"/>
      <c r="QOV41" s="19"/>
      <c r="QOW41" s="16"/>
      <c r="QOX41" s="18"/>
      <c r="QOY41" s="13"/>
      <c r="QOZ41" s="12"/>
      <c r="QPA41" s="18"/>
      <c r="QPB41" s="12"/>
      <c r="QPC41" s="19"/>
      <c r="QPD41" s="16"/>
      <c r="QPE41" s="18"/>
      <c r="QPF41" s="13"/>
      <c r="QPG41" s="12"/>
      <c r="QPH41" s="18"/>
      <c r="QPI41" s="12"/>
      <c r="QPJ41" s="19"/>
      <c r="QPK41" s="16"/>
      <c r="QPL41" s="18"/>
      <c r="QPM41" s="13"/>
      <c r="QPN41" s="12"/>
      <c r="QPO41" s="18"/>
      <c r="QPP41" s="12"/>
      <c r="QPQ41" s="19"/>
      <c r="QPR41" s="16"/>
      <c r="QPS41" s="18"/>
      <c r="QPT41" s="13"/>
      <c r="QPU41" s="12"/>
      <c r="QPV41" s="18"/>
      <c r="QPW41" s="12"/>
      <c r="QPX41" s="19"/>
      <c r="QPY41" s="16"/>
      <c r="QPZ41" s="18"/>
      <c r="QQA41" s="13"/>
      <c r="QQB41" s="12"/>
      <c r="QQC41" s="18"/>
      <c r="QQD41" s="12"/>
      <c r="QQE41" s="19"/>
      <c r="QQF41" s="16"/>
      <c r="QQG41" s="18"/>
      <c r="QQH41" s="13"/>
      <c r="QQI41" s="12"/>
      <c r="QQJ41" s="18"/>
      <c r="QQK41" s="12"/>
      <c r="QQL41" s="19"/>
      <c r="QQM41" s="16"/>
      <c r="QQN41" s="18"/>
      <c r="QQO41" s="13"/>
      <c r="QQP41" s="12"/>
      <c r="QQQ41" s="18"/>
      <c r="QQR41" s="12"/>
      <c r="QQS41" s="19"/>
      <c r="QQT41" s="16"/>
      <c r="QQU41" s="18"/>
      <c r="QQV41" s="13"/>
      <c r="QQW41" s="12"/>
      <c r="QQX41" s="18"/>
      <c r="QQY41" s="12"/>
      <c r="QQZ41" s="19"/>
      <c r="QRA41" s="16"/>
      <c r="QRB41" s="18"/>
      <c r="QRC41" s="13"/>
      <c r="QRD41" s="12"/>
      <c r="QRE41" s="18"/>
      <c r="QRF41" s="12"/>
      <c r="QRG41" s="19"/>
      <c r="QRH41" s="16"/>
      <c r="QRI41" s="18"/>
      <c r="QRJ41" s="13"/>
      <c r="QRK41" s="12"/>
      <c r="QRL41" s="18"/>
      <c r="QRM41" s="12"/>
      <c r="QRN41" s="19"/>
      <c r="QRO41" s="16"/>
      <c r="QRP41" s="18"/>
      <c r="QRQ41" s="13"/>
      <c r="QRR41" s="12"/>
      <c r="QRS41" s="18"/>
      <c r="QRT41" s="12"/>
      <c r="QRU41" s="19"/>
      <c r="QRV41" s="16"/>
      <c r="QRW41" s="18"/>
      <c r="QRX41" s="13"/>
      <c r="QRY41" s="12"/>
      <c r="QRZ41" s="18"/>
      <c r="QSA41" s="12"/>
      <c r="QSB41" s="19"/>
      <c r="QSC41" s="16"/>
      <c r="QSD41" s="18"/>
      <c r="QSE41" s="13"/>
      <c r="QSF41" s="12"/>
      <c r="QSG41" s="18"/>
      <c r="QSH41" s="12"/>
      <c r="QSI41" s="19"/>
      <c r="QSJ41" s="16"/>
      <c r="QSK41" s="18"/>
      <c r="QSL41" s="13"/>
      <c r="QSM41" s="12"/>
      <c r="QSN41" s="18"/>
      <c r="QSO41" s="12"/>
      <c r="QSP41" s="19"/>
      <c r="QSQ41" s="16"/>
      <c r="QSR41" s="18"/>
      <c r="QSS41" s="13"/>
      <c r="QST41" s="12"/>
      <c r="QSU41" s="18"/>
      <c r="QSV41" s="12"/>
      <c r="QSW41" s="19"/>
      <c r="QSX41" s="16"/>
      <c r="QSY41" s="18"/>
      <c r="QSZ41" s="13"/>
      <c r="QTA41" s="12"/>
      <c r="QTB41" s="18"/>
      <c r="QTC41" s="12"/>
      <c r="QTD41" s="19"/>
      <c r="QTE41" s="16"/>
      <c r="QTF41" s="18"/>
      <c r="QTG41" s="13"/>
      <c r="QTH41" s="12"/>
      <c r="QTI41" s="18"/>
      <c r="QTJ41" s="12"/>
      <c r="QTK41" s="19"/>
      <c r="QTL41" s="16"/>
      <c r="QTM41" s="18"/>
      <c r="QTN41" s="13"/>
      <c r="QTO41" s="12"/>
      <c r="QTP41" s="18"/>
      <c r="QTQ41" s="12"/>
      <c r="QTR41" s="19"/>
      <c r="QTS41" s="16"/>
      <c r="QTT41" s="18"/>
      <c r="QTU41" s="13"/>
      <c r="QTV41" s="12"/>
      <c r="QTW41" s="18"/>
      <c r="QTX41" s="12"/>
      <c r="QTY41" s="19"/>
      <c r="QTZ41" s="16"/>
      <c r="QUA41" s="18"/>
      <c r="QUB41" s="13"/>
      <c r="QUC41" s="12"/>
      <c r="QUD41" s="18"/>
      <c r="QUE41" s="12"/>
      <c r="QUF41" s="19"/>
      <c r="QUG41" s="16"/>
      <c r="QUH41" s="18"/>
      <c r="QUI41" s="13"/>
      <c r="QUJ41" s="12"/>
      <c r="QUK41" s="18"/>
      <c r="QUL41" s="12"/>
      <c r="QUM41" s="19"/>
      <c r="QUN41" s="16"/>
      <c r="QUO41" s="18"/>
      <c r="QUP41" s="13"/>
      <c r="QUQ41" s="12"/>
      <c r="QUR41" s="18"/>
      <c r="QUS41" s="12"/>
      <c r="QUT41" s="19"/>
      <c r="QUU41" s="16"/>
      <c r="QUV41" s="18"/>
      <c r="QUW41" s="13"/>
      <c r="QUX41" s="12"/>
      <c r="QUY41" s="18"/>
      <c r="QUZ41" s="12"/>
      <c r="QVA41" s="19"/>
      <c r="QVB41" s="16"/>
      <c r="QVC41" s="18"/>
      <c r="QVD41" s="13"/>
      <c r="QVE41" s="12"/>
      <c r="QVF41" s="18"/>
      <c r="QVG41" s="12"/>
      <c r="QVH41" s="19"/>
      <c r="QVI41" s="16"/>
      <c r="QVJ41" s="18"/>
      <c r="QVK41" s="13"/>
      <c r="QVL41" s="12"/>
      <c r="QVM41" s="18"/>
      <c r="QVN41" s="12"/>
      <c r="QVO41" s="19"/>
      <c r="QVP41" s="16"/>
      <c r="QVQ41" s="18"/>
      <c r="QVR41" s="13"/>
      <c r="QVS41" s="12"/>
      <c r="QVT41" s="18"/>
      <c r="QVU41" s="12"/>
      <c r="QVV41" s="19"/>
      <c r="QVW41" s="16"/>
      <c r="QVX41" s="18"/>
      <c r="QVY41" s="13"/>
      <c r="QVZ41" s="12"/>
      <c r="QWA41" s="18"/>
      <c r="QWB41" s="12"/>
      <c r="QWC41" s="19"/>
      <c r="QWD41" s="16"/>
      <c r="QWE41" s="18"/>
      <c r="QWF41" s="13"/>
      <c r="QWG41" s="12"/>
      <c r="QWH41" s="18"/>
      <c r="QWI41" s="12"/>
      <c r="QWJ41" s="19"/>
      <c r="QWK41" s="16"/>
      <c r="QWL41" s="18"/>
      <c r="QWM41" s="13"/>
      <c r="QWN41" s="12"/>
      <c r="QWO41" s="18"/>
      <c r="QWP41" s="12"/>
      <c r="QWQ41" s="19"/>
      <c r="QWR41" s="16"/>
      <c r="QWS41" s="18"/>
      <c r="QWT41" s="13"/>
      <c r="QWU41" s="12"/>
      <c r="QWV41" s="18"/>
      <c r="QWW41" s="12"/>
      <c r="QWX41" s="19"/>
      <c r="QWY41" s="16"/>
      <c r="QWZ41" s="18"/>
      <c r="QXA41" s="13"/>
      <c r="QXB41" s="12"/>
      <c r="QXC41" s="18"/>
      <c r="QXD41" s="12"/>
      <c r="QXE41" s="19"/>
      <c r="QXF41" s="16"/>
      <c r="QXG41" s="18"/>
      <c r="QXH41" s="13"/>
      <c r="QXI41" s="12"/>
      <c r="QXJ41" s="18"/>
      <c r="QXK41" s="12"/>
      <c r="QXL41" s="19"/>
      <c r="QXM41" s="16"/>
      <c r="QXN41" s="18"/>
      <c r="QXO41" s="13"/>
      <c r="QXP41" s="12"/>
      <c r="QXQ41" s="18"/>
      <c r="QXR41" s="12"/>
      <c r="QXS41" s="19"/>
      <c r="QXT41" s="16"/>
      <c r="QXU41" s="18"/>
      <c r="QXV41" s="13"/>
      <c r="QXW41" s="12"/>
      <c r="QXX41" s="18"/>
      <c r="QXY41" s="12"/>
      <c r="QXZ41" s="19"/>
      <c r="QYA41" s="16"/>
      <c r="QYB41" s="18"/>
      <c r="QYC41" s="13"/>
      <c r="QYD41" s="12"/>
      <c r="QYE41" s="18"/>
      <c r="QYF41" s="12"/>
      <c r="QYG41" s="19"/>
      <c r="QYH41" s="16"/>
      <c r="QYI41" s="18"/>
      <c r="QYJ41" s="13"/>
      <c r="QYK41" s="12"/>
      <c r="QYL41" s="18"/>
      <c r="QYM41" s="12"/>
      <c r="QYN41" s="19"/>
      <c r="QYO41" s="16"/>
      <c r="QYP41" s="18"/>
      <c r="QYQ41" s="13"/>
      <c r="QYR41" s="12"/>
      <c r="QYS41" s="18"/>
      <c r="QYT41" s="12"/>
      <c r="QYU41" s="19"/>
      <c r="QYV41" s="16"/>
      <c r="QYW41" s="18"/>
      <c r="QYX41" s="13"/>
      <c r="QYY41" s="12"/>
      <c r="QYZ41" s="18"/>
      <c r="QZA41" s="12"/>
      <c r="QZB41" s="19"/>
      <c r="QZC41" s="16"/>
      <c r="QZD41" s="18"/>
      <c r="QZE41" s="13"/>
      <c r="QZF41" s="12"/>
      <c r="QZG41" s="18"/>
      <c r="QZH41" s="12"/>
      <c r="QZI41" s="19"/>
      <c r="QZJ41" s="16"/>
      <c r="QZK41" s="18"/>
      <c r="QZL41" s="13"/>
      <c r="QZM41" s="12"/>
      <c r="QZN41" s="18"/>
      <c r="QZO41" s="12"/>
      <c r="QZP41" s="19"/>
      <c r="QZQ41" s="16"/>
      <c r="QZR41" s="18"/>
      <c r="QZS41" s="13"/>
      <c r="QZT41" s="12"/>
      <c r="QZU41" s="18"/>
      <c r="QZV41" s="12"/>
      <c r="QZW41" s="19"/>
      <c r="QZX41" s="16"/>
      <c r="QZY41" s="18"/>
      <c r="QZZ41" s="13"/>
      <c r="RAA41" s="12"/>
      <c r="RAB41" s="18"/>
      <c r="RAC41" s="12"/>
      <c r="RAD41" s="19"/>
      <c r="RAE41" s="16"/>
      <c r="RAF41" s="18"/>
      <c r="RAG41" s="13"/>
      <c r="RAH41" s="12"/>
      <c r="RAI41" s="18"/>
      <c r="RAJ41" s="12"/>
      <c r="RAK41" s="19"/>
      <c r="RAL41" s="16"/>
      <c r="RAM41" s="18"/>
      <c r="RAN41" s="13"/>
      <c r="RAO41" s="12"/>
      <c r="RAP41" s="18"/>
      <c r="RAQ41" s="12"/>
      <c r="RAR41" s="19"/>
      <c r="RAS41" s="16"/>
      <c r="RAT41" s="18"/>
      <c r="RAU41" s="13"/>
      <c r="RAV41" s="12"/>
      <c r="RAW41" s="18"/>
      <c r="RAX41" s="12"/>
      <c r="RAY41" s="19"/>
      <c r="RAZ41" s="16"/>
      <c r="RBA41" s="18"/>
      <c r="RBB41" s="13"/>
      <c r="RBC41" s="12"/>
      <c r="RBD41" s="18"/>
      <c r="RBE41" s="12"/>
      <c r="RBF41" s="19"/>
      <c r="RBG41" s="16"/>
      <c r="RBH41" s="18"/>
      <c r="RBI41" s="13"/>
      <c r="RBJ41" s="12"/>
      <c r="RBK41" s="18"/>
      <c r="RBL41" s="12"/>
      <c r="RBM41" s="19"/>
      <c r="RBN41" s="16"/>
      <c r="RBO41" s="18"/>
      <c r="RBP41" s="13"/>
      <c r="RBQ41" s="12"/>
      <c r="RBR41" s="18"/>
      <c r="RBS41" s="12"/>
      <c r="RBT41" s="19"/>
      <c r="RBU41" s="16"/>
      <c r="RBV41" s="18"/>
      <c r="RBW41" s="13"/>
      <c r="RBX41" s="12"/>
      <c r="RBY41" s="18"/>
      <c r="RBZ41" s="12"/>
      <c r="RCA41" s="19"/>
      <c r="RCB41" s="16"/>
      <c r="RCC41" s="18"/>
      <c r="RCD41" s="13"/>
      <c r="RCE41" s="12"/>
      <c r="RCF41" s="18"/>
      <c r="RCG41" s="12"/>
      <c r="RCH41" s="19"/>
      <c r="RCI41" s="16"/>
      <c r="RCJ41" s="18"/>
      <c r="RCK41" s="13"/>
      <c r="RCL41" s="12"/>
      <c r="RCM41" s="18"/>
      <c r="RCN41" s="12"/>
      <c r="RCO41" s="19"/>
      <c r="RCP41" s="16"/>
      <c r="RCQ41" s="18"/>
      <c r="RCR41" s="13"/>
      <c r="RCS41" s="12"/>
      <c r="RCT41" s="18"/>
      <c r="RCU41" s="12"/>
      <c r="RCV41" s="19"/>
      <c r="RCW41" s="16"/>
      <c r="RCX41" s="18"/>
      <c r="RCY41" s="13"/>
      <c r="RCZ41" s="12"/>
      <c r="RDA41" s="18"/>
      <c r="RDB41" s="12"/>
      <c r="RDC41" s="19"/>
      <c r="RDD41" s="16"/>
      <c r="RDE41" s="18"/>
      <c r="RDF41" s="13"/>
      <c r="RDG41" s="12"/>
      <c r="RDH41" s="18"/>
      <c r="RDI41" s="12"/>
      <c r="RDJ41" s="19"/>
      <c r="RDK41" s="16"/>
      <c r="RDL41" s="18"/>
      <c r="RDM41" s="13"/>
      <c r="RDN41" s="12"/>
      <c r="RDO41" s="18"/>
      <c r="RDP41" s="12"/>
      <c r="RDQ41" s="19"/>
      <c r="RDR41" s="16"/>
      <c r="RDS41" s="18"/>
      <c r="RDT41" s="13"/>
      <c r="RDU41" s="12"/>
      <c r="RDV41" s="18"/>
      <c r="RDW41" s="12"/>
      <c r="RDX41" s="19"/>
      <c r="RDY41" s="16"/>
      <c r="RDZ41" s="18"/>
      <c r="REA41" s="13"/>
      <c r="REB41" s="12"/>
      <c r="REC41" s="18"/>
      <c r="RED41" s="12"/>
      <c r="REE41" s="19"/>
      <c r="REF41" s="16"/>
      <c r="REG41" s="18"/>
      <c r="REH41" s="13"/>
      <c r="REI41" s="12"/>
      <c r="REJ41" s="18"/>
      <c r="REK41" s="12"/>
      <c r="REL41" s="19"/>
      <c r="REM41" s="16"/>
      <c r="REN41" s="18"/>
      <c r="REO41" s="13"/>
      <c r="REP41" s="12"/>
      <c r="REQ41" s="18"/>
      <c r="RER41" s="12"/>
      <c r="RES41" s="19"/>
      <c r="RET41" s="16"/>
      <c r="REU41" s="18"/>
      <c r="REV41" s="13"/>
      <c r="REW41" s="12"/>
      <c r="REX41" s="18"/>
      <c r="REY41" s="12"/>
      <c r="REZ41" s="19"/>
      <c r="RFA41" s="16"/>
      <c r="RFB41" s="18"/>
      <c r="RFC41" s="13"/>
      <c r="RFD41" s="12"/>
      <c r="RFE41" s="18"/>
      <c r="RFF41" s="12"/>
      <c r="RFG41" s="19"/>
      <c r="RFH41" s="16"/>
      <c r="RFI41" s="18"/>
      <c r="RFJ41" s="13"/>
      <c r="RFK41" s="12"/>
      <c r="RFL41" s="18"/>
      <c r="RFM41" s="12"/>
      <c r="RFN41" s="19"/>
      <c r="RFO41" s="16"/>
      <c r="RFP41" s="18"/>
      <c r="RFQ41" s="13"/>
      <c r="RFR41" s="12"/>
      <c r="RFS41" s="18"/>
      <c r="RFT41" s="12"/>
      <c r="RFU41" s="19"/>
      <c r="RFV41" s="16"/>
      <c r="RFW41" s="18"/>
      <c r="RFX41" s="13"/>
      <c r="RFY41" s="12"/>
      <c r="RFZ41" s="18"/>
      <c r="RGA41" s="12"/>
      <c r="RGB41" s="19"/>
      <c r="RGC41" s="16"/>
      <c r="RGD41" s="18"/>
      <c r="RGE41" s="13"/>
      <c r="RGF41" s="12"/>
      <c r="RGG41" s="18"/>
      <c r="RGH41" s="12"/>
      <c r="RGI41" s="19"/>
      <c r="RGJ41" s="16"/>
      <c r="RGK41" s="18"/>
      <c r="RGL41" s="13"/>
      <c r="RGM41" s="12"/>
      <c r="RGN41" s="18"/>
      <c r="RGO41" s="12"/>
      <c r="RGP41" s="19"/>
      <c r="RGQ41" s="16"/>
      <c r="RGR41" s="18"/>
      <c r="RGS41" s="13"/>
      <c r="RGT41" s="12"/>
      <c r="RGU41" s="18"/>
      <c r="RGV41" s="12"/>
      <c r="RGW41" s="19"/>
      <c r="RGX41" s="16"/>
      <c r="RGY41" s="18"/>
      <c r="RGZ41" s="13"/>
      <c r="RHA41" s="12"/>
      <c r="RHB41" s="18"/>
      <c r="RHC41" s="12"/>
      <c r="RHD41" s="19"/>
      <c r="RHE41" s="16"/>
      <c r="RHF41" s="18"/>
      <c r="RHG41" s="13"/>
      <c r="RHH41" s="12"/>
      <c r="RHI41" s="18"/>
      <c r="RHJ41" s="12"/>
      <c r="RHK41" s="19"/>
      <c r="RHL41" s="16"/>
      <c r="RHM41" s="18"/>
      <c r="RHN41" s="13"/>
      <c r="RHO41" s="12"/>
      <c r="RHP41" s="18"/>
      <c r="RHQ41" s="12"/>
      <c r="RHR41" s="19"/>
      <c r="RHS41" s="16"/>
      <c r="RHT41" s="18"/>
      <c r="RHU41" s="13"/>
      <c r="RHV41" s="12"/>
      <c r="RHW41" s="18"/>
      <c r="RHX41" s="12"/>
      <c r="RHY41" s="19"/>
      <c r="RHZ41" s="16"/>
      <c r="RIA41" s="18"/>
      <c r="RIB41" s="13"/>
      <c r="RIC41" s="12"/>
      <c r="RID41" s="18"/>
      <c r="RIE41" s="12"/>
      <c r="RIF41" s="19"/>
      <c r="RIG41" s="16"/>
      <c r="RIH41" s="18"/>
      <c r="RII41" s="13"/>
      <c r="RIJ41" s="12"/>
      <c r="RIK41" s="18"/>
      <c r="RIL41" s="12"/>
      <c r="RIM41" s="19"/>
      <c r="RIN41" s="16"/>
      <c r="RIO41" s="18"/>
      <c r="RIP41" s="13"/>
      <c r="RIQ41" s="12"/>
      <c r="RIR41" s="18"/>
      <c r="RIS41" s="12"/>
      <c r="RIT41" s="19"/>
      <c r="RIU41" s="16"/>
      <c r="RIV41" s="18"/>
      <c r="RIW41" s="13"/>
      <c r="RIX41" s="12"/>
      <c r="RIY41" s="18"/>
      <c r="RIZ41" s="12"/>
      <c r="RJA41" s="19"/>
      <c r="RJB41" s="16"/>
      <c r="RJC41" s="18"/>
      <c r="RJD41" s="13"/>
      <c r="RJE41" s="12"/>
      <c r="RJF41" s="18"/>
      <c r="RJG41" s="12"/>
      <c r="RJH41" s="19"/>
      <c r="RJI41" s="16"/>
      <c r="RJJ41" s="18"/>
      <c r="RJK41" s="13"/>
      <c r="RJL41" s="12"/>
      <c r="RJM41" s="18"/>
      <c r="RJN41" s="12"/>
      <c r="RJO41" s="19"/>
      <c r="RJP41" s="16"/>
      <c r="RJQ41" s="18"/>
      <c r="RJR41" s="13"/>
      <c r="RJS41" s="12"/>
      <c r="RJT41" s="18"/>
      <c r="RJU41" s="12"/>
      <c r="RJV41" s="19"/>
      <c r="RJW41" s="16"/>
      <c r="RJX41" s="18"/>
      <c r="RJY41" s="13"/>
      <c r="RJZ41" s="12"/>
      <c r="RKA41" s="18"/>
      <c r="RKB41" s="12"/>
      <c r="RKC41" s="19"/>
      <c r="RKD41" s="16"/>
      <c r="RKE41" s="18"/>
      <c r="RKF41" s="13"/>
      <c r="RKG41" s="12"/>
      <c r="RKH41" s="18"/>
      <c r="RKI41" s="12"/>
      <c r="RKJ41" s="19"/>
      <c r="RKK41" s="16"/>
      <c r="RKL41" s="18"/>
      <c r="RKM41" s="13"/>
      <c r="RKN41" s="12"/>
      <c r="RKO41" s="18"/>
      <c r="RKP41" s="12"/>
      <c r="RKQ41" s="19"/>
      <c r="RKR41" s="16"/>
      <c r="RKS41" s="18"/>
      <c r="RKT41" s="13"/>
      <c r="RKU41" s="12"/>
      <c r="RKV41" s="18"/>
      <c r="RKW41" s="12"/>
      <c r="RKX41" s="19"/>
      <c r="RKY41" s="16"/>
      <c r="RKZ41" s="18"/>
      <c r="RLA41" s="13"/>
      <c r="RLB41" s="12"/>
      <c r="RLC41" s="18"/>
      <c r="RLD41" s="12"/>
      <c r="RLE41" s="19"/>
      <c r="RLF41" s="16"/>
      <c r="RLG41" s="18"/>
      <c r="RLH41" s="13"/>
      <c r="RLI41" s="12"/>
      <c r="RLJ41" s="18"/>
      <c r="RLK41" s="12"/>
      <c r="RLL41" s="19"/>
      <c r="RLM41" s="16"/>
      <c r="RLN41" s="18"/>
      <c r="RLO41" s="13"/>
      <c r="RLP41" s="12"/>
      <c r="RLQ41" s="18"/>
      <c r="RLR41" s="12"/>
      <c r="RLS41" s="19"/>
      <c r="RLT41" s="16"/>
      <c r="RLU41" s="18"/>
      <c r="RLV41" s="13"/>
      <c r="RLW41" s="12"/>
      <c r="RLX41" s="18"/>
      <c r="RLY41" s="12"/>
      <c r="RLZ41" s="19"/>
      <c r="RMA41" s="16"/>
      <c r="RMB41" s="18"/>
      <c r="RMC41" s="13"/>
      <c r="RMD41" s="12"/>
      <c r="RME41" s="18"/>
      <c r="RMF41" s="12"/>
      <c r="RMG41" s="19"/>
      <c r="RMH41" s="16"/>
      <c r="RMI41" s="18"/>
      <c r="RMJ41" s="13"/>
      <c r="RMK41" s="12"/>
      <c r="RML41" s="18"/>
      <c r="RMM41" s="12"/>
      <c r="RMN41" s="19"/>
      <c r="RMO41" s="16"/>
      <c r="RMP41" s="18"/>
      <c r="RMQ41" s="13"/>
      <c r="RMR41" s="12"/>
      <c r="RMS41" s="18"/>
      <c r="RMT41" s="12"/>
      <c r="RMU41" s="19"/>
      <c r="RMV41" s="16"/>
      <c r="RMW41" s="18"/>
      <c r="RMX41" s="13"/>
      <c r="RMY41" s="12"/>
      <c r="RMZ41" s="18"/>
      <c r="RNA41" s="12"/>
      <c r="RNB41" s="19"/>
      <c r="RNC41" s="16"/>
      <c r="RND41" s="18"/>
      <c r="RNE41" s="13"/>
      <c r="RNF41" s="12"/>
      <c r="RNG41" s="18"/>
      <c r="RNH41" s="12"/>
      <c r="RNI41" s="19"/>
      <c r="RNJ41" s="16"/>
      <c r="RNK41" s="18"/>
      <c r="RNL41" s="13"/>
      <c r="RNM41" s="12"/>
      <c r="RNN41" s="18"/>
      <c r="RNO41" s="12"/>
      <c r="RNP41" s="19"/>
      <c r="RNQ41" s="16"/>
      <c r="RNR41" s="18"/>
      <c r="RNS41" s="13"/>
      <c r="RNT41" s="12"/>
      <c r="RNU41" s="18"/>
      <c r="RNV41" s="12"/>
      <c r="RNW41" s="19"/>
      <c r="RNX41" s="16"/>
      <c r="RNY41" s="18"/>
      <c r="RNZ41" s="13"/>
      <c r="ROA41" s="12"/>
      <c r="ROB41" s="18"/>
      <c r="ROC41" s="12"/>
      <c r="ROD41" s="19"/>
      <c r="ROE41" s="16"/>
      <c r="ROF41" s="18"/>
      <c r="ROG41" s="13"/>
      <c r="ROH41" s="12"/>
      <c r="ROI41" s="18"/>
      <c r="ROJ41" s="12"/>
      <c r="ROK41" s="19"/>
      <c r="ROL41" s="16"/>
      <c r="ROM41" s="18"/>
      <c r="RON41" s="13"/>
      <c r="ROO41" s="12"/>
      <c r="ROP41" s="18"/>
      <c r="ROQ41" s="12"/>
      <c r="ROR41" s="19"/>
      <c r="ROS41" s="16"/>
      <c r="ROT41" s="18"/>
      <c r="ROU41" s="13"/>
      <c r="ROV41" s="12"/>
      <c r="ROW41" s="18"/>
      <c r="ROX41" s="12"/>
      <c r="ROY41" s="19"/>
      <c r="ROZ41" s="16"/>
      <c r="RPA41" s="18"/>
      <c r="RPB41" s="13"/>
      <c r="RPC41" s="12"/>
      <c r="RPD41" s="18"/>
      <c r="RPE41" s="12"/>
      <c r="RPF41" s="19"/>
      <c r="RPG41" s="16"/>
      <c r="RPH41" s="18"/>
      <c r="RPI41" s="13"/>
      <c r="RPJ41" s="12"/>
      <c r="RPK41" s="18"/>
      <c r="RPL41" s="12"/>
      <c r="RPM41" s="19"/>
      <c r="RPN41" s="16"/>
      <c r="RPO41" s="18"/>
      <c r="RPP41" s="13"/>
      <c r="RPQ41" s="12"/>
      <c r="RPR41" s="18"/>
      <c r="RPS41" s="12"/>
      <c r="RPT41" s="19"/>
      <c r="RPU41" s="16"/>
      <c r="RPV41" s="18"/>
      <c r="RPW41" s="13"/>
      <c r="RPX41" s="12"/>
      <c r="RPY41" s="18"/>
      <c r="RPZ41" s="12"/>
      <c r="RQA41" s="19"/>
      <c r="RQB41" s="16"/>
      <c r="RQC41" s="18"/>
      <c r="RQD41" s="13"/>
      <c r="RQE41" s="12"/>
      <c r="RQF41" s="18"/>
      <c r="RQG41" s="12"/>
      <c r="RQH41" s="19"/>
      <c r="RQI41" s="16"/>
      <c r="RQJ41" s="18"/>
      <c r="RQK41" s="13"/>
      <c r="RQL41" s="12"/>
      <c r="RQM41" s="18"/>
      <c r="RQN41" s="12"/>
      <c r="RQO41" s="19"/>
      <c r="RQP41" s="16"/>
      <c r="RQQ41" s="18"/>
      <c r="RQR41" s="13"/>
      <c r="RQS41" s="12"/>
      <c r="RQT41" s="18"/>
      <c r="RQU41" s="12"/>
      <c r="RQV41" s="19"/>
      <c r="RQW41" s="16"/>
      <c r="RQX41" s="18"/>
      <c r="RQY41" s="13"/>
      <c r="RQZ41" s="12"/>
      <c r="RRA41" s="18"/>
      <c r="RRB41" s="12"/>
      <c r="RRC41" s="19"/>
      <c r="RRD41" s="16"/>
      <c r="RRE41" s="18"/>
      <c r="RRF41" s="13"/>
      <c r="RRG41" s="12"/>
      <c r="RRH41" s="18"/>
      <c r="RRI41" s="12"/>
      <c r="RRJ41" s="19"/>
      <c r="RRK41" s="16"/>
      <c r="RRL41" s="18"/>
      <c r="RRM41" s="13"/>
      <c r="RRN41" s="12"/>
      <c r="RRO41" s="18"/>
      <c r="RRP41" s="12"/>
      <c r="RRQ41" s="19"/>
      <c r="RRR41" s="16"/>
      <c r="RRS41" s="18"/>
      <c r="RRT41" s="13"/>
      <c r="RRU41" s="12"/>
      <c r="RRV41" s="18"/>
      <c r="RRW41" s="12"/>
      <c r="RRX41" s="19"/>
      <c r="RRY41" s="16"/>
      <c r="RRZ41" s="18"/>
      <c r="RSA41" s="13"/>
      <c r="RSB41" s="12"/>
      <c r="RSC41" s="18"/>
      <c r="RSD41" s="12"/>
      <c r="RSE41" s="19"/>
      <c r="RSF41" s="16"/>
      <c r="RSG41" s="18"/>
      <c r="RSH41" s="13"/>
      <c r="RSI41" s="12"/>
      <c r="RSJ41" s="18"/>
      <c r="RSK41" s="12"/>
      <c r="RSL41" s="19"/>
      <c r="RSM41" s="16"/>
      <c r="RSN41" s="18"/>
      <c r="RSO41" s="13"/>
      <c r="RSP41" s="12"/>
      <c r="RSQ41" s="18"/>
      <c r="RSR41" s="12"/>
      <c r="RSS41" s="19"/>
      <c r="RST41" s="16"/>
      <c r="RSU41" s="18"/>
      <c r="RSV41" s="13"/>
      <c r="RSW41" s="12"/>
      <c r="RSX41" s="18"/>
      <c r="RSY41" s="12"/>
      <c r="RSZ41" s="19"/>
      <c r="RTA41" s="16"/>
      <c r="RTB41" s="18"/>
      <c r="RTC41" s="13"/>
      <c r="RTD41" s="12"/>
      <c r="RTE41" s="18"/>
      <c r="RTF41" s="12"/>
      <c r="RTG41" s="19"/>
      <c r="RTH41" s="16"/>
      <c r="RTI41" s="18"/>
      <c r="RTJ41" s="13"/>
      <c r="RTK41" s="12"/>
      <c r="RTL41" s="18"/>
      <c r="RTM41" s="12"/>
      <c r="RTN41" s="19"/>
      <c r="RTO41" s="16"/>
      <c r="RTP41" s="18"/>
      <c r="RTQ41" s="13"/>
      <c r="RTR41" s="12"/>
      <c r="RTS41" s="18"/>
      <c r="RTT41" s="12"/>
      <c r="RTU41" s="19"/>
      <c r="RTV41" s="16"/>
      <c r="RTW41" s="18"/>
      <c r="RTX41" s="13"/>
      <c r="RTY41" s="12"/>
      <c r="RTZ41" s="18"/>
      <c r="RUA41" s="12"/>
      <c r="RUB41" s="19"/>
      <c r="RUC41" s="16"/>
      <c r="RUD41" s="18"/>
      <c r="RUE41" s="13"/>
      <c r="RUF41" s="12"/>
      <c r="RUG41" s="18"/>
      <c r="RUH41" s="12"/>
      <c r="RUI41" s="19"/>
      <c r="RUJ41" s="16"/>
      <c r="RUK41" s="18"/>
      <c r="RUL41" s="13"/>
      <c r="RUM41" s="12"/>
      <c r="RUN41" s="18"/>
      <c r="RUO41" s="12"/>
      <c r="RUP41" s="19"/>
      <c r="RUQ41" s="16"/>
      <c r="RUR41" s="18"/>
      <c r="RUS41" s="13"/>
      <c r="RUT41" s="12"/>
      <c r="RUU41" s="18"/>
      <c r="RUV41" s="12"/>
      <c r="RUW41" s="19"/>
      <c r="RUX41" s="16"/>
      <c r="RUY41" s="18"/>
      <c r="RUZ41" s="13"/>
      <c r="RVA41" s="12"/>
      <c r="RVB41" s="18"/>
      <c r="RVC41" s="12"/>
      <c r="RVD41" s="19"/>
      <c r="RVE41" s="16"/>
      <c r="RVF41" s="18"/>
      <c r="RVG41" s="13"/>
      <c r="RVH41" s="12"/>
      <c r="RVI41" s="18"/>
      <c r="RVJ41" s="12"/>
      <c r="RVK41" s="19"/>
      <c r="RVL41" s="16"/>
      <c r="RVM41" s="18"/>
      <c r="RVN41" s="13"/>
      <c r="RVO41" s="12"/>
      <c r="RVP41" s="18"/>
      <c r="RVQ41" s="12"/>
      <c r="RVR41" s="19"/>
      <c r="RVS41" s="16"/>
      <c r="RVT41" s="18"/>
      <c r="RVU41" s="13"/>
      <c r="RVV41" s="12"/>
      <c r="RVW41" s="18"/>
      <c r="RVX41" s="12"/>
      <c r="RVY41" s="19"/>
      <c r="RVZ41" s="16"/>
      <c r="RWA41" s="18"/>
      <c r="RWB41" s="13"/>
      <c r="RWC41" s="12"/>
      <c r="RWD41" s="18"/>
      <c r="RWE41" s="12"/>
      <c r="RWF41" s="19"/>
      <c r="RWG41" s="16"/>
      <c r="RWH41" s="18"/>
      <c r="RWI41" s="13"/>
      <c r="RWJ41" s="12"/>
      <c r="RWK41" s="18"/>
      <c r="RWL41" s="12"/>
      <c r="RWM41" s="19"/>
      <c r="RWN41" s="16"/>
      <c r="RWO41" s="18"/>
      <c r="RWP41" s="13"/>
      <c r="RWQ41" s="12"/>
      <c r="RWR41" s="18"/>
      <c r="RWS41" s="12"/>
      <c r="RWT41" s="19"/>
      <c r="RWU41" s="16"/>
      <c r="RWV41" s="18"/>
      <c r="RWW41" s="13"/>
      <c r="RWX41" s="12"/>
      <c r="RWY41" s="18"/>
      <c r="RWZ41" s="12"/>
      <c r="RXA41" s="19"/>
      <c r="RXB41" s="16"/>
      <c r="RXC41" s="18"/>
      <c r="RXD41" s="13"/>
      <c r="RXE41" s="12"/>
      <c r="RXF41" s="18"/>
      <c r="RXG41" s="12"/>
      <c r="RXH41" s="19"/>
      <c r="RXI41" s="16"/>
      <c r="RXJ41" s="18"/>
      <c r="RXK41" s="13"/>
      <c r="RXL41" s="12"/>
      <c r="RXM41" s="18"/>
      <c r="RXN41" s="12"/>
      <c r="RXO41" s="19"/>
      <c r="RXP41" s="16"/>
      <c r="RXQ41" s="18"/>
      <c r="RXR41" s="13"/>
      <c r="RXS41" s="12"/>
      <c r="RXT41" s="18"/>
      <c r="RXU41" s="12"/>
      <c r="RXV41" s="19"/>
      <c r="RXW41" s="16"/>
      <c r="RXX41" s="18"/>
      <c r="RXY41" s="13"/>
      <c r="RXZ41" s="12"/>
      <c r="RYA41" s="18"/>
      <c r="RYB41" s="12"/>
      <c r="RYC41" s="19"/>
      <c r="RYD41" s="16"/>
      <c r="RYE41" s="18"/>
      <c r="RYF41" s="13"/>
      <c r="RYG41" s="12"/>
      <c r="RYH41" s="18"/>
      <c r="RYI41" s="12"/>
      <c r="RYJ41" s="19"/>
      <c r="RYK41" s="16"/>
      <c r="RYL41" s="18"/>
      <c r="RYM41" s="13"/>
      <c r="RYN41" s="12"/>
      <c r="RYO41" s="18"/>
      <c r="RYP41" s="12"/>
      <c r="RYQ41" s="19"/>
      <c r="RYR41" s="16"/>
      <c r="RYS41" s="18"/>
      <c r="RYT41" s="13"/>
      <c r="RYU41" s="12"/>
      <c r="RYV41" s="18"/>
      <c r="RYW41" s="12"/>
      <c r="RYX41" s="19"/>
      <c r="RYY41" s="16"/>
      <c r="RYZ41" s="18"/>
      <c r="RZA41" s="13"/>
      <c r="RZB41" s="12"/>
      <c r="RZC41" s="18"/>
      <c r="RZD41" s="12"/>
      <c r="RZE41" s="19"/>
      <c r="RZF41" s="16"/>
      <c r="RZG41" s="18"/>
      <c r="RZH41" s="13"/>
      <c r="RZI41" s="12"/>
      <c r="RZJ41" s="18"/>
      <c r="RZK41" s="12"/>
      <c r="RZL41" s="19"/>
      <c r="RZM41" s="16"/>
      <c r="RZN41" s="18"/>
      <c r="RZO41" s="13"/>
      <c r="RZP41" s="12"/>
      <c r="RZQ41" s="18"/>
      <c r="RZR41" s="12"/>
      <c r="RZS41" s="19"/>
      <c r="RZT41" s="16"/>
      <c r="RZU41" s="18"/>
      <c r="RZV41" s="13"/>
      <c r="RZW41" s="12"/>
      <c r="RZX41" s="18"/>
      <c r="RZY41" s="12"/>
      <c r="RZZ41" s="19"/>
      <c r="SAA41" s="16"/>
      <c r="SAB41" s="18"/>
      <c r="SAC41" s="13"/>
      <c r="SAD41" s="12"/>
      <c r="SAE41" s="18"/>
      <c r="SAF41" s="12"/>
      <c r="SAG41" s="19"/>
      <c r="SAH41" s="16"/>
      <c r="SAI41" s="18"/>
      <c r="SAJ41" s="13"/>
      <c r="SAK41" s="12"/>
      <c r="SAL41" s="18"/>
      <c r="SAM41" s="12"/>
      <c r="SAN41" s="19"/>
      <c r="SAO41" s="16"/>
      <c r="SAP41" s="18"/>
      <c r="SAQ41" s="13"/>
      <c r="SAR41" s="12"/>
      <c r="SAS41" s="18"/>
      <c r="SAT41" s="12"/>
      <c r="SAU41" s="19"/>
      <c r="SAV41" s="16"/>
      <c r="SAW41" s="18"/>
      <c r="SAX41" s="13"/>
      <c r="SAY41" s="12"/>
      <c r="SAZ41" s="18"/>
      <c r="SBA41" s="12"/>
      <c r="SBB41" s="19"/>
      <c r="SBC41" s="16"/>
      <c r="SBD41" s="18"/>
      <c r="SBE41" s="13"/>
      <c r="SBF41" s="12"/>
      <c r="SBG41" s="18"/>
      <c r="SBH41" s="12"/>
      <c r="SBI41" s="19"/>
      <c r="SBJ41" s="16"/>
      <c r="SBK41" s="18"/>
      <c r="SBL41" s="13"/>
      <c r="SBM41" s="12"/>
      <c r="SBN41" s="18"/>
      <c r="SBO41" s="12"/>
      <c r="SBP41" s="19"/>
      <c r="SBQ41" s="16"/>
      <c r="SBR41" s="18"/>
      <c r="SBS41" s="13"/>
      <c r="SBT41" s="12"/>
      <c r="SBU41" s="18"/>
      <c r="SBV41" s="12"/>
      <c r="SBW41" s="19"/>
      <c r="SBX41" s="16"/>
      <c r="SBY41" s="18"/>
      <c r="SBZ41" s="13"/>
      <c r="SCA41" s="12"/>
      <c r="SCB41" s="18"/>
      <c r="SCC41" s="12"/>
      <c r="SCD41" s="19"/>
      <c r="SCE41" s="16"/>
      <c r="SCF41" s="18"/>
      <c r="SCG41" s="13"/>
      <c r="SCH41" s="12"/>
      <c r="SCI41" s="18"/>
      <c r="SCJ41" s="12"/>
      <c r="SCK41" s="19"/>
      <c r="SCL41" s="16"/>
      <c r="SCM41" s="18"/>
      <c r="SCN41" s="13"/>
      <c r="SCO41" s="12"/>
      <c r="SCP41" s="18"/>
      <c r="SCQ41" s="12"/>
      <c r="SCR41" s="19"/>
      <c r="SCS41" s="16"/>
      <c r="SCT41" s="18"/>
      <c r="SCU41" s="13"/>
      <c r="SCV41" s="12"/>
      <c r="SCW41" s="18"/>
      <c r="SCX41" s="12"/>
      <c r="SCY41" s="19"/>
      <c r="SCZ41" s="16"/>
      <c r="SDA41" s="18"/>
      <c r="SDB41" s="13"/>
      <c r="SDC41" s="12"/>
      <c r="SDD41" s="18"/>
      <c r="SDE41" s="12"/>
      <c r="SDF41" s="19"/>
      <c r="SDG41" s="16"/>
      <c r="SDH41" s="18"/>
      <c r="SDI41" s="13"/>
      <c r="SDJ41" s="12"/>
      <c r="SDK41" s="18"/>
      <c r="SDL41" s="12"/>
      <c r="SDM41" s="19"/>
      <c r="SDN41" s="16"/>
      <c r="SDO41" s="18"/>
      <c r="SDP41" s="13"/>
      <c r="SDQ41" s="12"/>
      <c r="SDR41" s="18"/>
      <c r="SDS41" s="12"/>
      <c r="SDT41" s="19"/>
      <c r="SDU41" s="16"/>
      <c r="SDV41" s="18"/>
      <c r="SDW41" s="13"/>
      <c r="SDX41" s="12"/>
      <c r="SDY41" s="18"/>
      <c r="SDZ41" s="12"/>
      <c r="SEA41" s="19"/>
      <c r="SEB41" s="16"/>
      <c r="SEC41" s="18"/>
      <c r="SED41" s="13"/>
      <c r="SEE41" s="12"/>
      <c r="SEF41" s="18"/>
      <c r="SEG41" s="12"/>
      <c r="SEH41" s="19"/>
      <c r="SEI41" s="16"/>
      <c r="SEJ41" s="18"/>
      <c r="SEK41" s="13"/>
      <c r="SEL41" s="12"/>
      <c r="SEM41" s="18"/>
      <c r="SEN41" s="12"/>
      <c r="SEO41" s="19"/>
      <c r="SEP41" s="16"/>
      <c r="SEQ41" s="18"/>
      <c r="SER41" s="13"/>
      <c r="SES41" s="12"/>
      <c r="SET41" s="18"/>
      <c r="SEU41" s="12"/>
      <c r="SEV41" s="19"/>
      <c r="SEW41" s="16"/>
      <c r="SEX41" s="18"/>
      <c r="SEY41" s="13"/>
      <c r="SEZ41" s="12"/>
      <c r="SFA41" s="18"/>
      <c r="SFB41" s="12"/>
      <c r="SFC41" s="19"/>
      <c r="SFD41" s="16"/>
      <c r="SFE41" s="18"/>
      <c r="SFF41" s="13"/>
      <c r="SFG41" s="12"/>
      <c r="SFH41" s="18"/>
      <c r="SFI41" s="12"/>
      <c r="SFJ41" s="19"/>
      <c r="SFK41" s="16"/>
      <c r="SFL41" s="18"/>
      <c r="SFM41" s="13"/>
      <c r="SFN41" s="12"/>
      <c r="SFO41" s="18"/>
      <c r="SFP41" s="12"/>
      <c r="SFQ41" s="19"/>
      <c r="SFR41" s="16"/>
      <c r="SFS41" s="18"/>
      <c r="SFT41" s="13"/>
      <c r="SFU41" s="12"/>
      <c r="SFV41" s="18"/>
      <c r="SFW41" s="12"/>
      <c r="SFX41" s="19"/>
      <c r="SFY41" s="16"/>
      <c r="SFZ41" s="18"/>
      <c r="SGA41" s="13"/>
      <c r="SGB41" s="12"/>
      <c r="SGC41" s="18"/>
      <c r="SGD41" s="12"/>
      <c r="SGE41" s="19"/>
      <c r="SGF41" s="16"/>
      <c r="SGG41" s="18"/>
      <c r="SGH41" s="13"/>
      <c r="SGI41" s="12"/>
      <c r="SGJ41" s="18"/>
      <c r="SGK41" s="12"/>
      <c r="SGL41" s="19"/>
      <c r="SGM41" s="16"/>
      <c r="SGN41" s="18"/>
      <c r="SGO41" s="13"/>
      <c r="SGP41" s="12"/>
      <c r="SGQ41" s="18"/>
      <c r="SGR41" s="12"/>
      <c r="SGS41" s="19"/>
      <c r="SGT41" s="16"/>
      <c r="SGU41" s="18"/>
      <c r="SGV41" s="13"/>
      <c r="SGW41" s="12"/>
      <c r="SGX41" s="18"/>
      <c r="SGY41" s="12"/>
      <c r="SGZ41" s="19"/>
      <c r="SHA41" s="16"/>
      <c r="SHB41" s="18"/>
      <c r="SHC41" s="13"/>
      <c r="SHD41" s="12"/>
      <c r="SHE41" s="18"/>
      <c r="SHF41" s="12"/>
      <c r="SHG41" s="19"/>
      <c r="SHH41" s="16"/>
      <c r="SHI41" s="18"/>
      <c r="SHJ41" s="13"/>
      <c r="SHK41" s="12"/>
      <c r="SHL41" s="18"/>
      <c r="SHM41" s="12"/>
      <c r="SHN41" s="19"/>
      <c r="SHO41" s="16"/>
      <c r="SHP41" s="18"/>
      <c r="SHQ41" s="13"/>
      <c r="SHR41" s="12"/>
      <c r="SHS41" s="18"/>
      <c r="SHT41" s="12"/>
      <c r="SHU41" s="19"/>
      <c r="SHV41" s="16"/>
      <c r="SHW41" s="18"/>
      <c r="SHX41" s="13"/>
      <c r="SHY41" s="12"/>
      <c r="SHZ41" s="18"/>
      <c r="SIA41" s="12"/>
      <c r="SIB41" s="19"/>
      <c r="SIC41" s="16"/>
      <c r="SID41" s="18"/>
      <c r="SIE41" s="13"/>
      <c r="SIF41" s="12"/>
      <c r="SIG41" s="18"/>
      <c r="SIH41" s="12"/>
      <c r="SII41" s="19"/>
      <c r="SIJ41" s="16"/>
      <c r="SIK41" s="18"/>
      <c r="SIL41" s="13"/>
      <c r="SIM41" s="12"/>
      <c r="SIN41" s="18"/>
      <c r="SIO41" s="12"/>
      <c r="SIP41" s="19"/>
      <c r="SIQ41" s="16"/>
      <c r="SIR41" s="18"/>
      <c r="SIS41" s="13"/>
      <c r="SIT41" s="12"/>
      <c r="SIU41" s="18"/>
      <c r="SIV41" s="12"/>
      <c r="SIW41" s="19"/>
      <c r="SIX41" s="16"/>
      <c r="SIY41" s="18"/>
      <c r="SIZ41" s="13"/>
      <c r="SJA41" s="12"/>
      <c r="SJB41" s="18"/>
      <c r="SJC41" s="12"/>
      <c r="SJD41" s="19"/>
      <c r="SJE41" s="16"/>
      <c r="SJF41" s="18"/>
      <c r="SJG41" s="13"/>
      <c r="SJH41" s="12"/>
      <c r="SJI41" s="18"/>
      <c r="SJJ41" s="12"/>
      <c r="SJK41" s="19"/>
      <c r="SJL41" s="16"/>
      <c r="SJM41" s="18"/>
      <c r="SJN41" s="13"/>
      <c r="SJO41" s="12"/>
      <c r="SJP41" s="18"/>
      <c r="SJQ41" s="12"/>
      <c r="SJR41" s="19"/>
      <c r="SJS41" s="16"/>
      <c r="SJT41" s="18"/>
      <c r="SJU41" s="13"/>
      <c r="SJV41" s="12"/>
      <c r="SJW41" s="18"/>
      <c r="SJX41" s="12"/>
      <c r="SJY41" s="19"/>
      <c r="SJZ41" s="16"/>
      <c r="SKA41" s="18"/>
      <c r="SKB41" s="13"/>
      <c r="SKC41" s="12"/>
      <c r="SKD41" s="18"/>
      <c r="SKE41" s="12"/>
      <c r="SKF41" s="19"/>
      <c r="SKG41" s="16"/>
      <c r="SKH41" s="18"/>
      <c r="SKI41" s="13"/>
      <c r="SKJ41" s="12"/>
      <c r="SKK41" s="18"/>
      <c r="SKL41" s="12"/>
      <c r="SKM41" s="19"/>
      <c r="SKN41" s="16"/>
      <c r="SKO41" s="18"/>
      <c r="SKP41" s="13"/>
      <c r="SKQ41" s="12"/>
      <c r="SKR41" s="18"/>
      <c r="SKS41" s="12"/>
      <c r="SKT41" s="19"/>
      <c r="SKU41" s="16"/>
      <c r="SKV41" s="18"/>
      <c r="SKW41" s="13"/>
      <c r="SKX41" s="12"/>
      <c r="SKY41" s="18"/>
      <c r="SKZ41" s="12"/>
      <c r="SLA41" s="19"/>
      <c r="SLB41" s="16"/>
      <c r="SLC41" s="18"/>
      <c r="SLD41" s="13"/>
      <c r="SLE41" s="12"/>
      <c r="SLF41" s="18"/>
      <c r="SLG41" s="12"/>
      <c r="SLH41" s="19"/>
      <c r="SLI41" s="16"/>
      <c r="SLJ41" s="18"/>
      <c r="SLK41" s="13"/>
      <c r="SLL41" s="12"/>
      <c r="SLM41" s="18"/>
      <c r="SLN41" s="12"/>
      <c r="SLO41" s="19"/>
      <c r="SLP41" s="16"/>
      <c r="SLQ41" s="18"/>
      <c r="SLR41" s="13"/>
      <c r="SLS41" s="12"/>
      <c r="SLT41" s="18"/>
      <c r="SLU41" s="12"/>
      <c r="SLV41" s="19"/>
      <c r="SLW41" s="16"/>
      <c r="SLX41" s="18"/>
      <c r="SLY41" s="13"/>
      <c r="SLZ41" s="12"/>
      <c r="SMA41" s="18"/>
      <c r="SMB41" s="12"/>
      <c r="SMC41" s="19"/>
      <c r="SMD41" s="16"/>
      <c r="SME41" s="18"/>
      <c r="SMF41" s="13"/>
      <c r="SMG41" s="12"/>
      <c r="SMH41" s="18"/>
      <c r="SMI41" s="12"/>
      <c r="SMJ41" s="19"/>
      <c r="SMK41" s="16"/>
      <c r="SML41" s="18"/>
      <c r="SMM41" s="13"/>
      <c r="SMN41" s="12"/>
      <c r="SMO41" s="18"/>
      <c r="SMP41" s="12"/>
      <c r="SMQ41" s="19"/>
      <c r="SMR41" s="16"/>
      <c r="SMS41" s="18"/>
      <c r="SMT41" s="13"/>
      <c r="SMU41" s="12"/>
      <c r="SMV41" s="18"/>
      <c r="SMW41" s="12"/>
      <c r="SMX41" s="19"/>
      <c r="SMY41" s="16"/>
      <c r="SMZ41" s="18"/>
      <c r="SNA41" s="13"/>
      <c r="SNB41" s="12"/>
      <c r="SNC41" s="18"/>
      <c r="SND41" s="12"/>
      <c r="SNE41" s="19"/>
      <c r="SNF41" s="16"/>
      <c r="SNG41" s="18"/>
      <c r="SNH41" s="13"/>
      <c r="SNI41" s="12"/>
      <c r="SNJ41" s="18"/>
      <c r="SNK41" s="12"/>
      <c r="SNL41" s="19"/>
      <c r="SNM41" s="16"/>
      <c r="SNN41" s="18"/>
      <c r="SNO41" s="13"/>
      <c r="SNP41" s="12"/>
      <c r="SNQ41" s="18"/>
      <c r="SNR41" s="12"/>
      <c r="SNS41" s="19"/>
      <c r="SNT41" s="16"/>
      <c r="SNU41" s="18"/>
      <c r="SNV41" s="13"/>
      <c r="SNW41" s="12"/>
      <c r="SNX41" s="18"/>
      <c r="SNY41" s="12"/>
      <c r="SNZ41" s="19"/>
      <c r="SOA41" s="16"/>
      <c r="SOB41" s="18"/>
      <c r="SOC41" s="13"/>
      <c r="SOD41" s="12"/>
      <c r="SOE41" s="18"/>
      <c r="SOF41" s="12"/>
      <c r="SOG41" s="19"/>
      <c r="SOH41" s="16"/>
      <c r="SOI41" s="18"/>
      <c r="SOJ41" s="13"/>
      <c r="SOK41" s="12"/>
      <c r="SOL41" s="18"/>
      <c r="SOM41" s="12"/>
      <c r="SON41" s="19"/>
      <c r="SOO41" s="16"/>
      <c r="SOP41" s="18"/>
      <c r="SOQ41" s="13"/>
      <c r="SOR41" s="12"/>
      <c r="SOS41" s="18"/>
      <c r="SOT41" s="12"/>
      <c r="SOU41" s="19"/>
      <c r="SOV41" s="16"/>
      <c r="SOW41" s="18"/>
      <c r="SOX41" s="13"/>
      <c r="SOY41" s="12"/>
      <c r="SOZ41" s="18"/>
      <c r="SPA41" s="12"/>
      <c r="SPB41" s="19"/>
      <c r="SPC41" s="16"/>
      <c r="SPD41" s="18"/>
      <c r="SPE41" s="13"/>
      <c r="SPF41" s="12"/>
      <c r="SPG41" s="18"/>
      <c r="SPH41" s="12"/>
      <c r="SPI41" s="19"/>
      <c r="SPJ41" s="16"/>
      <c r="SPK41" s="18"/>
      <c r="SPL41" s="13"/>
      <c r="SPM41" s="12"/>
      <c r="SPN41" s="18"/>
      <c r="SPO41" s="12"/>
      <c r="SPP41" s="19"/>
      <c r="SPQ41" s="16"/>
      <c r="SPR41" s="18"/>
      <c r="SPS41" s="13"/>
      <c r="SPT41" s="12"/>
      <c r="SPU41" s="18"/>
      <c r="SPV41" s="12"/>
      <c r="SPW41" s="19"/>
      <c r="SPX41" s="16"/>
      <c r="SPY41" s="18"/>
      <c r="SPZ41" s="13"/>
      <c r="SQA41" s="12"/>
      <c r="SQB41" s="18"/>
      <c r="SQC41" s="12"/>
      <c r="SQD41" s="19"/>
      <c r="SQE41" s="16"/>
      <c r="SQF41" s="18"/>
      <c r="SQG41" s="13"/>
      <c r="SQH41" s="12"/>
      <c r="SQI41" s="18"/>
      <c r="SQJ41" s="12"/>
      <c r="SQK41" s="19"/>
      <c r="SQL41" s="16"/>
      <c r="SQM41" s="18"/>
      <c r="SQN41" s="13"/>
      <c r="SQO41" s="12"/>
      <c r="SQP41" s="18"/>
      <c r="SQQ41" s="12"/>
      <c r="SQR41" s="19"/>
      <c r="SQS41" s="16"/>
      <c r="SQT41" s="18"/>
      <c r="SQU41" s="13"/>
      <c r="SQV41" s="12"/>
      <c r="SQW41" s="18"/>
      <c r="SQX41" s="12"/>
      <c r="SQY41" s="19"/>
      <c r="SQZ41" s="16"/>
      <c r="SRA41" s="18"/>
      <c r="SRB41" s="13"/>
      <c r="SRC41" s="12"/>
      <c r="SRD41" s="18"/>
      <c r="SRE41" s="12"/>
      <c r="SRF41" s="19"/>
      <c r="SRG41" s="16"/>
      <c r="SRH41" s="18"/>
      <c r="SRI41" s="13"/>
      <c r="SRJ41" s="12"/>
      <c r="SRK41" s="18"/>
      <c r="SRL41" s="12"/>
      <c r="SRM41" s="19"/>
      <c r="SRN41" s="16"/>
      <c r="SRO41" s="18"/>
      <c r="SRP41" s="13"/>
      <c r="SRQ41" s="12"/>
      <c r="SRR41" s="18"/>
      <c r="SRS41" s="12"/>
      <c r="SRT41" s="19"/>
      <c r="SRU41" s="16"/>
      <c r="SRV41" s="18"/>
      <c r="SRW41" s="13"/>
      <c r="SRX41" s="12"/>
      <c r="SRY41" s="18"/>
      <c r="SRZ41" s="12"/>
      <c r="SSA41" s="19"/>
      <c r="SSB41" s="16"/>
      <c r="SSC41" s="18"/>
      <c r="SSD41" s="13"/>
      <c r="SSE41" s="12"/>
      <c r="SSF41" s="18"/>
      <c r="SSG41" s="12"/>
      <c r="SSH41" s="19"/>
      <c r="SSI41" s="16"/>
      <c r="SSJ41" s="18"/>
      <c r="SSK41" s="13"/>
      <c r="SSL41" s="12"/>
      <c r="SSM41" s="18"/>
      <c r="SSN41" s="12"/>
      <c r="SSO41" s="19"/>
      <c r="SSP41" s="16"/>
      <c r="SSQ41" s="18"/>
      <c r="SSR41" s="13"/>
      <c r="SSS41" s="12"/>
      <c r="SST41" s="18"/>
      <c r="SSU41" s="12"/>
      <c r="SSV41" s="19"/>
      <c r="SSW41" s="16"/>
      <c r="SSX41" s="18"/>
      <c r="SSY41" s="13"/>
      <c r="SSZ41" s="12"/>
      <c r="STA41" s="18"/>
      <c r="STB41" s="12"/>
      <c r="STC41" s="19"/>
      <c r="STD41" s="16"/>
      <c r="STE41" s="18"/>
      <c r="STF41" s="13"/>
      <c r="STG41" s="12"/>
      <c r="STH41" s="18"/>
      <c r="STI41" s="12"/>
      <c r="STJ41" s="19"/>
      <c r="STK41" s="16"/>
      <c r="STL41" s="18"/>
      <c r="STM41" s="13"/>
      <c r="STN41" s="12"/>
      <c r="STO41" s="18"/>
      <c r="STP41" s="12"/>
      <c r="STQ41" s="19"/>
      <c r="STR41" s="16"/>
      <c r="STS41" s="18"/>
      <c r="STT41" s="13"/>
      <c r="STU41" s="12"/>
      <c r="STV41" s="18"/>
      <c r="STW41" s="12"/>
      <c r="STX41" s="19"/>
      <c r="STY41" s="16"/>
      <c r="STZ41" s="18"/>
      <c r="SUA41" s="13"/>
      <c r="SUB41" s="12"/>
      <c r="SUC41" s="18"/>
      <c r="SUD41" s="12"/>
      <c r="SUE41" s="19"/>
      <c r="SUF41" s="16"/>
      <c r="SUG41" s="18"/>
      <c r="SUH41" s="13"/>
      <c r="SUI41" s="12"/>
      <c r="SUJ41" s="18"/>
      <c r="SUK41" s="12"/>
      <c r="SUL41" s="19"/>
      <c r="SUM41" s="16"/>
      <c r="SUN41" s="18"/>
      <c r="SUO41" s="13"/>
      <c r="SUP41" s="12"/>
      <c r="SUQ41" s="18"/>
      <c r="SUR41" s="12"/>
      <c r="SUS41" s="19"/>
      <c r="SUT41" s="16"/>
      <c r="SUU41" s="18"/>
      <c r="SUV41" s="13"/>
      <c r="SUW41" s="12"/>
      <c r="SUX41" s="18"/>
      <c r="SUY41" s="12"/>
      <c r="SUZ41" s="19"/>
      <c r="SVA41" s="16"/>
      <c r="SVB41" s="18"/>
      <c r="SVC41" s="13"/>
      <c r="SVD41" s="12"/>
      <c r="SVE41" s="18"/>
      <c r="SVF41" s="12"/>
      <c r="SVG41" s="19"/>
      <c r="SVH41" s="16"/>
      <c r="SVI41" s="18"/>
      <c r="SVJ41" s="13"/>
      <c r="SVK41" s="12"/>
      <c r="SVL41" s="18"/>
      <c r="SVM41" s="12"/>
      <c r="SVN41" s="19"/>
      <c r="SVO41" s="16"/>
      <c r="SVP41" s="18"/>
      <c r="SVQ41" s="13"/>
      <c r="SVR41" s="12"/>
      <c r="SVS41" s="18"/>
      <c r="SVT41" s="12"/>
      <c r="SVU41" s="19"/>
      <c r="SVV41" s="16"/>
      <c r="SVW41" s="18"/>
      <c r="SVX41" s="13"/>
      <c r="SVY41" s="12"/>
      <c r="SVZ41" s="18"/>
      <c r="SWA41" s="12"/>
      <c r="SWB41" s="19"/>
      <c r="SWC41" s="16"/>
      <c r="SWD41" s="18"/>
      <c r="SWE41" s="13"/>
      <c r="SWF41" s="12"/>
      <c r="SWG41" s="18"/>
      <c r="SWH41" s="12"/>
      <c r="SWI41" s="19"/>
      <c r="SWJ41" s="16"/>
      <c r="SWK41" s="18"/>
      <c r="SWL41" s="13"/>
      <c r="SWM41" s="12"/>
      <c r="SWN41" s="18"/>
      <c r="SWO41" s="12"/>
      <c r="SWP41" s="19"/>
      <c r="SWQ41" s="16"/>
      <c r="SWR41" s="18"/>
      <c r="SWS41" s="13"/>
      <c r="SWT41" s="12"/>
      <c r="SWU41" s="18"/>
      <c r="SWV41" s="12"/>
      <c r="SWW41" s="19"/>
      <c r="SWX41" s="16"/>
      <c r="SWY41" s="18"/>
      <c r="SWZ41" s="13"/>
      <c r="SXA41" s="12"/>
      <c r="SXB41" s="18"/>
      <c r="SXC41" s="12"/>
      <c r="SXD41" s="19"/>
      <c r="SXE41" s="16"/>
      <c r="SXF41" s="18"/>
      <c r="SXG41" s="13"/>
      <c r="SXH41" s="12"/>
      <c r="SXI41" s="18"/>
      <c r="SXJ41" s="12"/>
      <c r="SXK41" s="19"/>
      <c r="SXL41" s="16"/>
      <c r="SXM41" s="18"/>
      <c r="SXN41" s="13"/>
      <c r="SXO41" s="12"/>
      <c r="SXP41" s="18"/>
      <c r="SXQ41" s="12"/>
      <c r="SXR41" s="19"/>
      <c r="SXS41" s="16"/>
      <c r="SXT41" s="18"/>
      <c r="SXU41" s="13"/>
      <c r="SXV41" s="12"/>
      <c r="SXW41" s="18"/>
      <c r="SXX41" s="12"/>
      <c r="SXY41" s="19"/>
      <c r="SXZ41" s="16"/>
      <c r="SYA41" s="18"/>
      <c r="SYB41" s="13"/>
      <c r="SYC41" s="12"/>
      <c r="SYD41" s="18"/>
      <c r="SYE41" s="12"/>
      <c r="SYF41" s="19"/>
      <c r="SYG41" s="16"/>
      <c r="SYH41" s="18"/>
      <c r="SYI41" s="13"/>
      <c r="SYJ41" s="12"/>
      <c r="SYK41" s="18"/>
      <c r="SYL41" s="12"/>
      <c r="SYM41" s="19"/>
      <c r="SYN41" s="16"/>
      <c r="SYO41" s="18"/>
      <c r="SYP41" s="13"/>
      <c r="SYQ41" s="12"/>
      <c r="SYR41" s="18"/>
      <c r="SYS41" s="12"/>
      <c r="SYT41" s="19"/>
      <c r="SYU41" s="16"/>
      <c r="SYV41" s="18"/>
      <c r="SYW41" s="13"/>
      <c r="SYX41" s="12"/>
      <c r="SYY41" s="18"/>
      <c r="SYZ41" s="12"/>
      <c r="SZA41" s="19"/>
      <c r="SZB41" s="16"/>
      <c r="SZC41" s="18"/>
      <c r="SZD41" s="13"/>
      <c r="SZE41" s="12"/>
      <c r="SZF41" s="18"/>
      <c r="SZG41" s="12"/>
      <c r="SZH41" s="19"/>
      <c r="SZI41" s="16"/>
      <c r="SZJ41" s="18"/>
      <c r="SZK41" s="13"/>
      <c r="SZL41" s="12"/>
      <c r="SZM41" s="18"/>
      <c r="SZN41" s="12"/>
      <c r="SZO41" s="19"/>
      <c r="SZP41" s="16"/>
      <c r="SZQ41" s="18"/>
      <c r="SZR41" s="13"/>
      <c r="SZS41" s="12"/>
      <c r="SZT41" s="18"/>
      <c r="SZU41" s="12"/>
      <c r="SZV41" s="19"/>
      <c r="SZW41" s="16"/>
      <c r="SZX41" s="18"/>
      <c r="SZY41" s="13"/>
      <c r="SZZ41" s="12"/>
      <c r="TAA41" s="18"/>
      <c r="TAB41" s="12"/>
      <c r="TAC41" s="19"/>
      <c r="TAD41" s="16"/>
      <c r="TAE41" s="18"/>
      <c r="TAF41" s="13"/>
      <c r="TAG41" s="12"/>
      <c r="TAH41" s="18"/>
      <c r="TAI41" s="12"/>
      <c r="TAJ41" s="19"/>
      <c r="TAK41" s="16"/>
      <c r="TAL41" s="18"/>
      <c r="TAM41" s="13"/>
      <c r="TAN41" s="12"/>
      <c r="TAO41" s="18"/>
      <c r="TAP41" s="12"/>
      <c r="TAQ41" s="19"/>
      <c r="TAR41" s="16"/>
      <c r="TAS41" s="18"/>
      <c r="TAT41" s="13"/>
      <c r="TAU41" s="12"/>
      <c r="TAV41" s="18"/>
      <c r="TAW41" s="12"/>
      <c r="TAX41" s="19"/>
      <c r="TAY41" s="16"/>
      <c r="TAZ41" s="18"/>
      <c r="TBA41" s="13"/>
      <c r="TBB41" s="12"/>
      <c r="TBC41" s="18"/>
      <c r="TBD41" s="12"/>
      <c r="TBE41" s="19"/>
      <c r="TBF41" s="16"/>
      <c r="TBG41" s="18"/>
      <c r="TBH41" s="13"/>
      <c r="TBI41" s="12"/>
      <c r="TBJ41" s="18"/>
      <c r="TBK41" s="12"/>
      <c r="TBL41" s="19"/>
      <c r="TBM41" s="16"/>
      <c r="TBN41" s="18"/>
      <c r="TBO41" s="13"/>
      <c r="TBP41" s="12"/>
      <c r="TBQ41" s="18"/>
      <c r="TBR41" s="12"/>
      <c r="TBS41" s="19"/>
      <c r="TBT41" s="16"/>
      <c r="TBU41" s="18"/>
      <c r="TBV41" s="13"/>
      <c r="TBW41" s="12"/>
      <c r="TBX41" s="18"/>
      <c r="TBY41" s="12"/>
      <c r="TBZ41" s="19"/>
      <c r="TCA41" s="16"/>
      <c r="TCB41" s="18"/>
      <c r="TCC41" s="13"/>
      <c r="TCD41" s="12"/>
      <c r="TCE41" s="18"/>
      <c r="TCF41" s="12"/>
      <c r="TCG41" s="19"/>
      <c r="TCH41" s="16"/>
      <c r="TCI41" s="18"/>
      <c r="TCJ41" s="13"/>
      <c r="TCK41" s="12"/>
      <c r="TCL41" s="18"/>
      <c r="TCM41" s="12"/>
      <c r="TCN41" s="19"/>
      <c r="TCO41" s="16"/>
      <c r="TCP41" s="18"/>
      <c r="TCQ41" s="13"/>
      <c r="TCR41" s="12"/>
      <c r="TCS41" s="18"/>
      <c r="TCT41" s="12"/>
      <c r="TCU41" s="19"/>
      <c r="TCV41" s="16"/>
      <c r="TCW41" s="18"/>
      <c r="TCX41" s="13"/>
      <c r="TCY41" s="12"/>
      <c r="TCZ41" s="18"/>
      <c r="TDA41" s="12"/>
      <c r="TDB41" s="19"/>
      <c r="TDC41" s="16"/>
      <c r="TDD41" s="18"/>
      <c r="TDE41" s="13"/>
      <c r="TDF41" s="12"/>
      <c r="TDG41" s="18"/>
      <c r="TDH41" s="12"/>
      <c r="TDI41" s="19"/>
      <c r="TDJ41" s="16"/>
      <c r="TDK41" s="18"/>
      <c r="TDL41" s="13"/>
      <c r="TDM41" s="12"/>
      <c r="TDN41" s="18"/>
      <c r="TDO41" s="12"/>
      <c r="TDP41" s="19"/>
      <c r="TDQ41" s="16"/>
      <c r="TDR41" s="18"/>
      <c r="TDS41" s="13"/>
      <c r="TDT41" s="12"/>
      <c r="TDU41" s="18"/>
      <c r="TDV41" s="12"/>
      <c r="TDW41" s="19"/>
      <c r="TDX41" s="16"/>
      <c r="TDY41" s="18"/>
      <c r="TDZ41" s="13"/>
      <c r="TEA41" s="12"/>
      <c r="TEB41" s="18"/>
      <c r="TEC41" s="12"/>
      <c r="TED41" s="19"/>
      <c r="TEE41" s="16"/>
      <c r="TEF41" s="18"/>
      <c r="TEG41" s="13"/>
      <c r="TEH41" s="12"/>
      <c r="TEI41" s="18"/>
      <c r="TEJ41" s="12"/>
      <c r="TEK41" s="19"/>
      <c r="TEL41" s="16"/>
      <c r="TEM41" s="18"/>
      <c r="TEN41" s="13"/>
      <c r="TEO41" s="12"/>
      <c r="TEP41" s="18"/>
      <c r="TEQ41" s="12"/>
      <c r="TER41" s="19"/>
      <c r="TES41" s="16"/>
      <c r="TET41" s="18"/>
      <c r="TEU41" s="13"/>
      <c r="TEV41" s="12"/>
      <c r="TEW41" s="18"/>
      <c r="TEX41" s="12"/>
      <c r="TEY41" s="19"/>
      <c r="TEZ41" s="16"/>
      <c r="TFA41" s="18"/>
      <c r="TFB41" s="13"/>
      <c r="TFC41" s="12"/>
      <c r="TFD41" s="18"/>
      <c r="TFE41" s="12"/>
      <c r="TFF41" s="19"/>
      <c r="TFG41" s="16"/>
      <c r="TFH41" s="18"/>
      <c r="TFI41" s="13"/>
      <c r="TFJ41" s="12"/>
      <c r="TFK41" s="18"/>
      <c r="TFL41" s="12"/>
      <c r="TFM41" s="19"/>
      <c r="TFN41" s="16"/>
      <c r="TFO41" s="18"/>
      <c r="TFP41" s="13"/>
      <c r="TFQ41" s="12"/>
      <c r="TFR41" s="18"/>
      <c r="TFS41" s="12"/>
      <c r="TFT41" s="19"/>
      <c r="TFU41" s="16"/>
      <c r="TFV41" s="18"/>
      <c r="TFW41" s="13"/>
      <c r="TFX41" s="12"/>
      <c r="TFY41" s="18"/>
      <c r="TFZ41" s="12"/>
      <c r="TGA41" s="19"/>
      <c r="TGB41" s="16"/>
      <c r="TGC41" s="18"/>
      <c r="TGD41" s="13"/>
      <c r="TGE41" s="12"/>
      <c r="TGF41" s="18"/>
      <c r="TGG41" s="12"/>
      <c r="TGH41" s="19"/>
      <c r="TGI41" s="16"/>
      <c r="TGJ41" s="18"/>
      <c r="TGK41" s="13"/>
      <c r="TGL41" s="12"/>
      <c r="TGM41" s="18"/>
      <c r="TGN41" s="12"/>
      <c r="TGO41" s="19"/>
      <c r="TGP41" s="16"/>
      <c r="TGQ41" s="18"/>
      <c r="TGR41" s="13"/>
      <c r="TGS41" s="12"/>
      <c r="TGT41" s="18"/>
      <c r="TGU41" s="12"/>
      <c r="TGV41" s="19"/>
      <c r="TGW41" s="16"/>
      <c r="TGX41" s="18"/>
      <c r="TGY41" s="13"/>
      <c r="TGZ41" s="12"/>
      <c r="THA41" s="18"/>
      <c r="THB41" s="12"/>
      <c r="THC41" s="19"/>
      <c r="THD41" s="16"/>
      <c r="THE41" s="18"/>
      <c r="THF41" s="13"/>
      <c r="THG41" s="12"/>
      <c r="THH41" s="18"/>
      <c r="THI41" s="12"/>
      <c r="THJ41" s="19"/>
      <c r="THK41" s="16"/>
      <c r="THL41" s="18"/>
      <c r="THM41" s="13"/>
      <c r="THN41" s="12"/>
      <c r="THO41" s="18"/>
      <c r="THP41" s="12"/>
      <c r="THQ41" s="19"/>
      <c r="THR41" s="16"/>
      <c r="THS41" s="18"/>
      <c r="THT41" s="13"/>
      <c r="THU41" s="12"/>
      <c r="THV41" s="18"/>
      <c r="THW41" s="12"/>
      <c r="THX41" s="19"/>
      <c r="THY41" s="16"/>
      <c r="THZ41" s="18"/>
      <c r="TIA41" s="13"/>
      <c r="TIB41" s="12"/>
      <c r="TIC41" s="18"/>
      <c r="TID41" s="12"/>
      <c r="TIE41" s="19"/>
      <c r="TIF41" s="16"/>
      <c r="TIG41" s="18"/>
      <c r="TIH41" s="13"/>
      <c r="TII41" s="12"/>
      <c r="TIJ41" s="18"/>
      <c r="TIK41" s="12"/>
      <c r="TIL41" s="19"/>
      <c r="TIM41" s="16"/>
      <c r="TIN41" s="18"/>
      <c r="TIO41" s="13"/>
      <c r="TIP41" s="12"/>
      <c r="TIQ41" s="18"/>
      <c r="TIR41" s="12"/>
      <c r="TIS41" s="19"/>
      <c r="TIT41" s="16"/>
      <c r="TIU41" s="18"/>
      <c r="TIV41" s="13"/>
      <c r="TIW41" s="12"/>
      <c r="TIX41" s="18"/>
      <c r="TIY41" s="12"/>
      <c r="TIZ41" s="19"/>
      <c r="TJA41" s="16"/>
      <c r="TJB41" s="18"/>
      <c r="TJC41" s="13"/>
      <c r="TJD41" s="12"/>
      <c r="TJE41" s="18"/>
      <c r="TJF41" s="12"/>
      <c r="TJG41" s="19"/>
      <c r="TJH41" s="16"/>
      <c r="TJI41" s="18"/>
      <c r="TJJ41" s="13"/>
      <c r="TJK41" s="12"/>
      <c r="TJL41" s="18"/>
      <c r="TJM41" s="12"/>
      <c r="TJN41" s="19"/>
      <c r="TJO41" s="16"/>
      <c r="TJP41" s="18"/>
      <c r="TJQ41" s="13"/>
      <c r="TJR41" s="12"/>
      <c r="TJS41" s="18"/>
      <c r="TJT41" s="12"/>
      <c r="TJU41" s="19"/>
      <c r="TJV41" s="16"/>
      <c r="TJW41" s="18"/>
      <c r="TJX41" s="13"/>
      <c r="TJY41" s="12"/>
      <c r="TJZ41" s="18"/>
      <c r="TKA41" s="12"/>
      <c r="TKB41" s="19"/>
      <c r="TKC41" s="16"/>
      <c r="TKD41" s="18"/>
      <c r="TKE41" s="13"/>
      <c r="TKF41" s="12"/>
      <c r="TKG41" s="18"/>
      <c r="TKH41" s="12"/>
      <c r="TKI41" s="19"/>
      <c r="TKJ41" s="16"/>
      <c r="TKK41" s="18"/>
      <c r="TKL41" s="13"/>
      <c r="TKM41" s="12"/>
      <c r="TKN41" s="18"/>
      <c r="TKO41" s="12"/>
      <c r="TKP41" s="19"/>
      <c r="TKQ41" s="16"/>
      <c r="TKR41" s="18"/>
      <c r="TKS41" s="13"/>
      <c r="TKT41" s="12"/>
      <c r="TKU41" s="18"/>
      <c r="TKV41" s="12"/>
      <c r="TKW41" s="19"/>
      <c r="TKX41" s="16"/>
      <c r="TKY41" s="18"/>
      <c r="TKZ41" s="13"/>
      <c r="TLA41" s="12"/>
      <c r="TLB41" s="18"/>
      <c r="TLC41" s="12"/>
      <c r="TLD41" s="19"/>
      <c r="TLE41" s="16"/>
      <c r="TLF41" s="18"/>
      <c r="TLG41" s="13"/>
      <c r="TLH41" s="12"/>
      <c r="TLI41" s="18"/>
      <c r="TLJ41" s="12"/>
      <c r="TLK41" s="19"/>
      <c r="TLL41" s="16"/>
      <c r="TLM41" s="18"/>
      <c r="TLN41" s="13"/>
      <c r="TLO41" s="12"/>
      <c r="TLP41" s="18"/>
      <c r="TLQ41" s="12"/>
      <c r="TLR41" s="19"/>
      <c r="TLS41" s="16"/>
      <c r="TLT41" s="18"/>
      <c r="TLU41" s="13"/>
      <c r="TLV41" s="12"/>
      <c r="TLW41" s="18"/>
      <c r="TLX41" s="12"/>
      <c r="TLY41" s="19"/>
      <c r="TLZ41" s="16"/>
      <c r="TMA41" s="18"/>
      <c r="TMB41" s="13"/>
      <c r="TMC41" s="12"/>
      <c r="TMD41" s="18"/>
      <c r="TME41" s="12"/>
      <c r="TMF41" s="19"/>
      <c r="TMG41" s="16"/>
      <c r="TMH41" s="18"/>
      <c r="TMI41" s="13"/>
      <c r="TMJ41" s="12"/>
      <c r="TMK41" s="18"/>
      <c r="TML41" s="12"/>
      <c r="TMM41" s="19"/>
      <c r="TMN41" s="16"/>
      <c r="TMO41" s="18"/>
      <c r="TMP41" s="13"/>
      <c r="TMQ41" s="12"/>
      <c r="TMR41" s="18"/>
      <c r="TMS41" s="12"/>
      <c r="TMT41" s="19"/>
      <c r="TMU41" s="16"/>
      <c r="TMV41" s="18"/>
      <c r="TMW41" s="13"/>
      <c r="TMX41" s="12"/>
      <c r="TMY41" s="18"/>
      <c r="TMZ41" s="12"/>
      <c r="TNA41" s="19"/>
      <c r="TNB41" s="16"/>
      <c r="TNC41" s="18"/>
      <c r="TND41" s="13"/>
      <c r="TNE41" s="12"/>
      <c r="TNF41" s="18"/>
      <c r="TNG41" s="12"/>
      <c r="TNH41" s="19"/>
      <c r="TNI41" s="16"/>
      <c r="TNJ41" s="18"/>
      <c r="TNK41" s="13"/>
      <c r="TNL41" s="12"/>
      <c r="TNM41" s="18"/>
      <c r="TNN41" s="12"/>
      <c r="TNO41" s="19"/>
      <c r="TNP41" s="16"/>
      <c r="TNQ41" s="18"/>
      <c r="TNR41" s="13"/>
      <c r="TNS41" s="12"/>
      <c r="TNT41" s="18"/>
      <c r="TNU41" s="12"/>
      <c r="TNV41" s="19"/>
      <c r="TNW41" s="16"/>
      <c r="TNX41" s="18"/>
      <c r="TNY41" s="13"/>
      <c r="TNZ41" s="12"/>
      <c r="TOA41" s="18"/>
      <c r="TOB41" s="12"/>
      <c r="TOC41" s="19"/>
      <c r="TOD41" s="16"/>
      <c r="TOE41" s="18"/>
      <c r="TOF41" s="13"/>
      <c r="TOG41" s="12"/>
      <c r="TOH41" s="18"/>
      <c r="TOI41" s="12"/>
      <c r="TOJ41" s="19"/>
      <c r="TOK41" s="16"/>
      <c r="TOL41" s="18"/>
      <c r="TOM41" s="13"/>
      <c r="TON41" s="12"/>
      <c r="TOO41" s="18"/>
      <c r="TOP41" s="12"/>
      <c r="TOQ41" s="19"/>
      <c r="TOR41" s="16"/>
      <c r="TOS41" s="18"/>
      <c r="TOT41" s="13"/>
      <c r="TOU41" s="12"/>
      <c r="TOV41" s="18"/>
      <c r="TOW41" s="12"/>
      <c r="TOX41" s="19"/>
      <c r="TOY41" s="16"/>
      <c r="TOZ41" s="18"/>
      <c r="TPA41" s="13"/>
      <c r="TPB41" s="12"/>
      <c r="TPC41" s="18"/>
      <c r="TPD41" s="12"/>
      <c r="TPE41" s="19"/>
      <c r="TPF41" s="16"/>
      <c r="TPG41" s="18"/>
      <c r="TPH41" s="13"/>
      <c r="TPI41" s="12"/>
      <c r="TPJ41" s="18"/>
      <c r="TPK41" s="12"/>
      <c r="TPL41" s="19"/>
      <c r="TPM41" s="16"/>
      <c r="TPN41" s="18"/>
      <c r="TPO41" s="13"/>
      <c r="TPP41" s="12"/>
      <c r="TPQ41" s="18"/>
      <c r="TPR41" s="12"/>
      <c r="TPS41" s="19"/>
      <c r="TPT41" s="16"/>
      <c r="TPU41" s="18"/>
      <c r="TPV41" s="13"/>
      <c r="TPW41" s="12"/>
      <c r="TPX41" s="18"/>
      <c r="TPY41" s="12"/>
      <c r="TPZ41" s="19"/>
      <c r="TQA41" s="16"/>
      <c r="TQB41" s="18"/>
      <c r="TQC41" s="13"/>
      <c r="TQD41" s="12"/>
      <c r="TQE41" s="18"/>
      <c r="TQF41" s="12"/>
      <c r="TQG41" s="19"/>
      <c r="TQH41" s="16"/>
      <c r="TQI41" s="18"/>
      <c r="TQJ41" s="13"/>
      <c r="TQK41" s="12"/>
      <c r="TQL41" s="18"/>
      <c r="TQM41" s="12"/>
      <c r="TQN41" s="19"/>
      <c r="TQO41" s="16"/>
      <c r="TQP41" s="18"/>
      <c r="TQQ41" s="13"/>
      <c r="TQR41" s="12"/>
      <c r="TQS41" s="18"/>
      <c r="TQT41" s="12"/>
      <c r="TQU41" s="19"/>
      <c r="TQV41" s="16"/>
      <c r="TQW41" s="18"/>
      <c r="TQX41" s="13"/>
      <c r="TQY41" s="12"/>
      <c r="TQZ41" s="18"/>
      <c r="TRA41" s="12"/>
      <c r="TRB41" s="19"/>
      <c r="TRC41" s="16"/>
      <c r="TRD41" s="18"/>
      <c r="TRE41" s="13"/>
      <c r="TRF41" s="12"/>
      <c r="TRG41" s="18"/>
      <c r="TRH41" s="12"/>
      <c r="TRI41" s="19"/>
      <c r="TRJ41" s="16"/>
      <c r="TRK41" s="18"/>
      <c r="TRL41" s="13"/>
      <c r="TRM41" s="12"/>
      <c r="TRN41" s="18"/>
      <c r="TRO41" s="12"/>
      <c r="TRP41" s="19"/>
      <c r="TRQ41" s="16"/>
      <c r="TRR41" s="18"/>
      <c r="TRS41" s="13"/>
      <c r="TRT41" s="12"/>
      <c r="TRU41" s="18"/>
      <c r="TRV41" s="12"/>
      <c r="TRW41" s="19"/>
      <c r="TRX41" s="16"/>
      <c r="TRY41" s="18"/>
      <c r="TRZ41" s="13"/>
      <c r="TSA41" s="12"/>
      <c r="TSB41" s="18"/>
      <c r="TSC41" s="12"/>
      <c r="TSD41" s="19"/>
      <c r="TSE41" s="16"/>
      <c r="TSF41" s="18"/>
      <c r="TSG41" s="13"/>
      <c r="TSH41" s="12"/>
      <c r="TSI41" s="18"/>
      <c r="TSJ41" s="12"/>
      <c r="TSK41" s="19"/>
      <c r="TSL41" s="16"/>
      <c r="TSM41" s="18"/>
      <c r="TSN41" s="13"/>
      <c r="TSO41" s="12"/>
      <c r="TSP41" s="18"/>
      <c r="TSQ41" s="12"/>
      <c r="TSR41" s="19"/>
      <c r="TSS41" s="16"/>
      <c r="TST41" s="18"/>
      <c r="TSU41" s="13"/>
      <c r="TSV41" s="12"/>
      <c r="TSW41" s="18"/>
      <c r="TSX41" s="12"/>
      <c r="TSY41" s="19"/>
      <c r="TSZ41" s="16"/>
      <c r="TTA41" s="18"/>
      <c r="TTB41" s="13"/>
      <c r="TTC41" s="12"/>
      <c r="TTD41" s="18"/>
      <c r="TTE41" s="12"/>
      <c r="TTF41" s="19"/>
      <c r="TTG41" s="16"/>
      <c r="TTH41" s="18"/>
      <c r="TTI41" s="13"/>
      <c r="TTJ41" s="12"/>
      <c r="TTK41" s="18"/>
      <c r="TTL41" s="12"/>
      <c r="TTM41" s="19"/>
      <c r="TTN41" s="16"/>
      <c r="TTO41" s="18"/>
      <c r="TTP41" s="13"/>
      <c r="TTQ41" s="12"/>
      <c r="TTR41" s="18"/>
      <c r="TTS41" s="12"/>
      <c r="TTT41" s="19"/>
      <c r="TTU41" s="16"/>
      <c r="TTV41" s="18"/>
      <c r="TTW41" s="13"/>
      <c r="TTX41" s="12"/>
      <c r="TTY41" s="18"/>
      <c r="TTZ41" s="12"/>
      <c r="TUA41" s="19"/>
      <c r="TUB41" s="16"/>
      <c r="TUC41" s="18"/>
      <c r="TUD41" s="13"/>
      <c r="TUE41" s="12"/>
      <c r="TUF41" s="18"/>
      <c r="TUG41" s="12"/>
      <c r="TUH41" s="19"/>
      <c r="TUI41" s="16"/>
      <c r="TUJ41" s="18"/>
      <c r="TUK41" s="13"/>
      <c r="TUL41" s="12"/>
      <c r="TUM41" s="18"/>
      <c r="TUN41" s="12"/>
      <c r="TUO41" s="19"/>
      <c r="TUP41" s="16"/>
      <c r="TUQ41" s="18"/>
      <c r="TUR41" s="13"/>
      <c r="TUS41" s="12"/>
      <c r="TUT41" s="18"/>
      <c r="TUU41" s="12"/>
      <c r="TUV41" s="19"/>
      <c r="TUW41" s="16"/>
      <c r="TUX41" s="18"/>
      <c r="TUY41" s="13"/>
      <c r="TUZ41" s="12"/>
      <c r="TVA41" s="18"/>
      <c r="TVB41" s="12"/>
      <c r="TVC41" s="19"/>
      <c r="TVD41" s="16"/>
      <c r="TVE41" s="18"/>
      <c r="TVF41" s="13"/>
      <c r="TVG41" s="12"/>
      <c r="TVH41" s="18"/>
      <c r="TVI41" s="12"/>
      <c r="TVJ41" s="19"/>
      <c r="TVK41" s="16"/>
      <c r="TVL41" s="18"/>
      <c r="TVM41" s="13"/>
      <c r="TVN41" s="12"/>
      <c r="TVO41" s="18"/>
      <c r="TVP41" s="12"/>
      <c r="TVQ41" s="19"/>
      <c r="TVR41" s="16"/>
      <c r="TVS41" s="18"/>
      <c r="TVT41" s="13"/>
      <c r="TVU41" s="12"/>
      <c r="TVV41" s="18"/>
      <c r="TVW41" s="12"/>
      <c r="TVX41" s="19"/>
      <c r="TVY41" s="16"/>
      <c r="TVZ41" s="18"/>
      <c r="TWA41" s="13"/>
      <c r="TWB41" s="12"/>
      <c r="TWC41" s="18"/>
      <c r="TWD41" s="12"/>
      <c r="TWE41" s="19"/>
      <c r="TWF41" s="16"/>
      <c r="TWG41" s="18"/>
      <c r="TWH41" s="13"/>
      <c r="TWI41" s="12"/>
      <c r="TWJ41" s="18"/>
      <c r="TWK41" s="12"/>
      <c r="TWL41" s="19"/>
      <c r="TWM41" s="16"/>
      <c r="TWN41" s="18"/>
      <c r="TWO41" s="13"/>
      <c r="TWP41" s="12"/>
      <c r="TWQ41" s="18"/>
      <c r="TWR41" s="12"/>
      <c r="TWS41" s="19"/>
      <c r="TWT41" s="16"/>
      <c r="TWU41" s="18"/>
      <c r="TWV41" s="13"/>
      <c r="TWW41" s="12"/>
      <c r="TWX41" s="18"/>
      <c r="TWY41" s="12"/>
      <c r="TWZ41" s="19"/>
      <c r="TXA41" s="16"/>
      <c r="TXB41" s="18"/>
      <c r="TXC41" s="13"/>
      <c r="TXD41" s="12"/>
      <c r="TXE41" s="18"/>
      <c r="TXF41" s="12"/>
      <c r="TXG41" s="19"/>
      <c r="TXH41" s="16"/>
      <c r="TXI41" s="18"/>
      <c r="TXJ41" s="13"/>
      <c r="TXK41" s="12"/>
      <c r="TXL41" s="18"/>
      <c r="TXM41" s="12"/>
      <c r="TXN41" s="19"/>
      <c r="TXO41" s="16"/>
      <c r="TXP41" s="18"/>
      <c r="TXQ41" s="13"/>
      <c r="TXR41" s="12"/>
      <c r="TXS41" s="18"/>
      <c r="TXT41" s="12"/>
      <c r="TXU41" s="19"/>
      <c r="TXV41" s="16"/>
      <c r="TXW41" s="18"/>
      <c r="TXX41" s="13"/>
      <c r="TXY41" s="12"/>
      <c r="TXZ41" s="18"/>
      <c r="TYA41" s="12"/>
      <c r="TYB41" s="19"/>
      <c r="TYC41" s="16"/>
      <c r="TYD41" s="18"/>
      <c r="TYE41" s="13"/>
      <c r="TYF41" s="12"/>
      <c r="TYG41" s="18"/>
      <c r="TYH41" s="12"/>
      <c r="TYI41" s="19"/>
      <c r="TYJ41" s="16"/>
      <c r="TYK41" s="18"/>
      <c r="TYL41" s="13"/>
      <c r="TYM41" s="12"/>
      <c r="TYN41" s="18"/>
      <c r="TYO41" s="12"/>
      <c r="TYP41" s="19"/>
      <c r="TYQ41" s="16"/>
      <c r="TYR41" s="18"/>
      <c r="TYS41" s="13"/>
      <c r="TYT41" s="12"/>
      <c r="TYU41" s="18"/>
      <c r="TYV41" s="12"/>
      <c r="TYW41" s="19"/>
      <c r="TYX41" s="16"/>
      <c r="TYY41" s="18"/>
      <c r="TYZ41" s="13"/>
      <c r="TZA41" s="12"/>
      <c r="TZB41" s="18"/>
      <c r="TZC41" s="12"/>
      <c r="TZD41" s="19"/>
      <c r="TZE41" s="16"/>
      <c r="TZF41" s="18"/>
      <c r="TZG41" s="13"/>
      <c r="TZH41" s="12"/>
      <c r="TZI41" s="18"/>
      <c r="TZJ41" s="12"/>
      <c r="TZK41" s="19"/>
      <c r="TZL41" s="16"/>
      <c r="TZM41" s="18"/>
      <c r="TZN41" s="13"/>
      <c r="TZO41" s="12"/>
      <c r="TZP41" s="18"/>
      <c r="TZQ41" s="12"/>
      <c r="TZR41" s="19"/>
      <c r="TZS41" s="16"/>
      <c r="TZT41" s="18"/>
      <c r="TZU41" s="13"/>
      <c r="TZV41" s="12"/>
      <c r="TZW41" s="18"/>
      <c r="TZX41" s="12"/>
      <c r="TZY41" s="19"/>
      <c r="TZZ41" s="16"/>
      <c r="UAA41" s="18"/>
      <c r="UAB41" s="13"/>
      <c r="UAC41" s="12"/>
      <c r="UAD41" s="18"/>
      <c r="UAE41" s="12"/>
      <c r="UAF41" s="19"/>
      <c r="UAG41" s="16"/>
      <c r="UAH41" s="18"/>
      <c r="UAI41" s="13"/>
      <c r="UAJ41" s="12"/>
      <c r="UAK41" s="18"/>
      <c r="UAL41" s="12"/>
      <c r="UAM41" s="19"/>
      <c r="UAN41" s="16"/>
      <c r="UAO41" s="18"/>
      <c r="UAP41" s="13"/>
      <c r="UAQ41" s="12"/>
      <c r="UAR41" s="18"/>
      <c r="UAS41" s="12"/>
      <c r="UAT41" s="19"/>
      <c r="UAU41" s="16"/>
      <c r="UAV41" s="18"/>
      <c r="UAW41" s="13"/>
      <c r="UAX41" s="12"/>
      <c r="UAY41" s="18"/>
      <c r="UAZ41" s="12"/>
      <c r="UBA41" s="19"/>
      <c r="UBB41" s="16"/>
      <c r="UBC41" s="18"/>
      <c r="UBD41" s="13"/>
      <c r="UBE41" s="12"/>
      <c r="UBF41" s="18"/>
      <c r="UBG41" s="12"/>
      <c r="UBH41" s="19"/>
      <c r="UBI41" s="16"/>
      <c r="UBJ41" s="18"/>
      <c r="UBK41" s="13"/>
      <c r="UBL41" s="12"/>
      <c r="UBM41" s="18"/>
      <c r="UBN41" s="12"/>
      <c r="UBO41" s="19"/>
      <c r="UBP41" s="16"/>
      <c r="UBQ41" s="18"/>
      <c r="UBR41" s="13"/>
      <c r="UBS41" s="12"/>
      <c r="UBT41" s="18"/>
      <c r="UBU41" s="12"/>
      <c r="UBV41" s="19"/>
      <c r="UBW41" s="16"/>
      <c r="UBX41" s="18"/>
      <c r="UBY41" s="13"/>
      <c r="UBZ41" s="12"/>
      <c r="UCA41" s="18"/>
      <c r="UCB41" s="12"/>
      <c r="UCC41" s="19"/>
      <c r="UCD41" s="16"/>
      <c r="UCE41" s="18"/>
      <c r="UCF41" s="13"/>
      <c r="UCG41" s="12"/>
      <c r="UCH41" s="18"/>
      <c r="UCI41" s="12"/>
      <c r="UCJ41" s="19"/>
      <c r="UCK41" s="16"/>
      <c r="UCL41" s="18"/>
      <c r="UCM41" s="13"/>
      <c r="UCN41" s="12"/>
      <c r="UCO41" s="18"/>
      <c r="UCP41" s="12"/>
      <c r="UCQ41" s="19"/>
      <c r="UCR41" s="16"/>
      <c r="UCS41" s="18"/>
      <c r="UCT41" s="13"/>
      <c r="UCU41" s="12"/>
      <c r="UCV41" s="18"/>
      <c r="UCW41" s="12"/>
      <c r="UCX41" s="19"/>
      <c r="UCY41" s="16"/>
      <c r="UCZ41" s="18"/>
      <c r="UDA41" s="13"/>
      <c r="UDB41" s="12"/>
      <c r="UDC41" s="18"/>
      <c r="UDD41" s="12"/>
      <c r="UDE41" s="19"/>
      <c r="UDF41" s="16"/>
      <c r="UDG41" s="18"/>
      <c r="UDH41" s="13"/>
      <c r="UDI41" s="12"/>
      <c r="UDJ41" s="18"/>
      <c r="UDK41" s="12"/>
      <c r="UDL41" s="19"/>
      <c r="UDM41" s="16"/>
      <c r="UDN41" s="18"/>
      <c r="UDO41" s="13"/>
      <c r="UDP41" s="12"/>
      <c r="UDQ41" s="18"/>
      <c r="UDR41" s="12"/>
      <c r="UDS41" s="19"/>
      <c r="UDT41" s="16"/>
      <c r="UDU41" s="18"/>
      <c r="UDV41" s="13"/>
      <c r="UDW41" s="12"/>
      <c r="UDX41" s="18"/>
      <c r="UDY41" s="12"/>
      <c r="UDZ41" s="19"/>
      <c r="UEA41" s="16"/>
      <c r="UEB41" s="18"/>
      <c r="UEC41" s="13"/>
      <c r="UED41" s="12"/>
      <c r="UEE41" s="18"/>
      <c r="UEF41" s="12"/>
      <c r="UEG41" s="19"/>
      <c r="UEH41" s="16"/>
      <c r="UEI41" s="18"/>
      <c r="UEJ41" s="13"/>
      <c r="UEK41" s="12"/>
      <c r="UEL41" s="18"/>
      <c r="UEM41" s="12"/>
      <c r="UEN41" s="19"/>
      <c r="UEO41" s="16"/>
      <c r="UEP41" s="18"/>
      <c r="UEQ41" s="13"/>
      <c r="UER41" s="12"/>
      <c r="UES41" s="18"/>
      <c r="UET41" s="12"/>
      <c r="UEU41" s="19"/>
      <c r="UEV41" s="16"/>
      <c r="UEW41" s="18"/>
      <c r="UEX41" s="13"/>
      <c r="UEY41" s="12"/>
      <c r="UEZ41" s="18"/>
      <c r="UFA41" s="12"/>
      <c r="UFB41" s="19"/>
      <c r="UFC41" s="16"/>
      <c r="UFD41" s="18"/>
      <c r="UFE41" s="13"/>
      <c r="UFF41" s="12"/>
      <c r="UFG41" s="18"/>
      <c r="UFH41" s="12"/>
      <c r="UFI41" s="19"/>
      <c r="UFJ41" s="16"/>
      <c r="UFK41" s="18"/>
      <c r="UFL41" s="13"/>
      <c r="UFM41" s="12"/>
      <c r="UFN41" s="18"/>
      <c r="UFO41" s="12"/>
      <c r="UFP41" s="19"/>
      <c r="UFQ41" s="16"/>
      <c r="UFR41" s="18"/>
      <c r="UFS41" s="13"/>
      <c r="UFT41" s="12"/>
      <c r="UFU41" s="18"/>
      <c r="UFV41" s="12"/>
      <c r="UFW41" s="19"/>
      <c r="UFX41" s="16"/>
      <c r="UFY41" s="18"/>
      <c r="UFZ41" s="13"/>
      <c r="UGA41" s="12"/>
      <c r="UGB41" s="18"/>
      <c r="UGC41" s="12"/>
      <c r="UGD41" s="19"/>
      <c r="UGE41" s="16"/>
      <c r="UGF41" s="18"/>
      <c r="UGG41" s="13"/>
      <c r="UGH41" s="12"/>
      <c r="UGI41" s="18"/>
      <c r="UGJ41" s="12"/>
      <c r="UGK41" s="19"/>
      <c r="UGL41" s="16"/>
      <c r="UGM41" s="18"/>
      <c r="UGN41" s="13"/>
      <c r="UGO41" s="12"/>
      <c r="UGP41" s="18"/>
      <c r="UGQ41" s="12"/>
      <c r="UGR41" s="19"/>
      <c r="UGS41" s="16"/>
      <c r="UGT41" s="18"/>
      <c r="UGU41" s="13"/>
      <c r="UGV41" s="12"/>
      <c r="UGW41" s="18"/>
      <c r="UGX41" s="12"/>
      <c r="UGY41" s="19"/>
      <c r="UGZ41" s="16"/>
      <c r="UHA41" s="18"/>
      <c r="UHB41" s="13"/>
      <c r="UHC41" s="12"/>
      <c r="UHD41" s="18"/>
      <c r="UHE41" s="12"/>
      <c r="UHF41" s="19"/>
      <c r="UHG41" s="16"/>
      <c r="UHH41" s="18"/>
      <c r="UHI41" s="13"/>
      <c r="UHJ41" s="12"/>
      <c r="UHK41" s="18"/>
      <c r="UHL41" s="12"/>
      <c r="UHM41" s="19"/>
      <c r="UHN41" s="16"/>
      <c r="UHO41" s="18"/>
      <c r="UHP41" s="13"/>
      <c r="UHQ41" s="12"/>
      <c r="UHR41" s="18"/>
      <c r="UHS41" s="12"/>
      <c r="UHT41" s="19"/>
      <c r="UHU41" s="16"/>
      <c r="UHV41" s="18"/>
      <c r="UHW41" s="13"/>
      <c r="UHX41" s="12"/>
      <c r="UHY41" s="18"/>
      <c r="UHZ41" s="12"/>
      <c r="UIA41" s="19"/>
      <c r="UIB41" s="16"/>
      <c r="UIC41" s="18"/>
      <c r="UID41" s="13"/>
      <c r="UIE41" s="12"/>
      <c r="UIF41" s="18"/>
      <c r="UIG41" s="12"/>
      <c r="UIH41" s="19"/>
      <c r="UII41" s="16"/>
      <c r="UIJ41" s="18"/>
      <c r="UIK41" s="13"/>
      <c r="UIL41" s="12"/>
      <c r="UIM41" s="18"/>
      <c r="UIN41" s="12"/>
      <c r="UIO41" s="19"/>
      <c r="UIP41" s="16"/>
      <c r="UIQ41" s="18"/>
      <c r="UIR41" s="13"/>
      <c r="UIS41" s="12"/>
      <c r="UIT41" s="18"/>
      <c r="UIU41" s="12"/>
      <c r="UIV41" s="19"/>
      <c r="UIW41" s="16"/>
      <c r="UIX41" s="18"/>
      <c r="UIY41" s="13"/>
      <c r="UIZ41" s="12"/>
      <c r="UJA41" s="18"/>
      <c r="UJB41" s="12"/>
      <c r="UJC41" s="19"/>
      <c r="UJD41" s="16"/>
      <c r="UJE41" s="18"/>
      <c r="UJF41" s="13"/>
      <c r="UJG41" s="12"/>
      <c r="UJH41" s="18"/>
      <c r="UJI41" s="12"/>
      <c r="UJJ41" s="19"/>
      <c r="UJK41" s="16"/>
      <c r="UJL41" s="18"/>
      <c r="UJM41" s="13"/>
      <c r="UJN41" s="12"/>
      <c r="UJO41" s="18"/>
      <c r="UJP41" s="12"/>
      <c r="UJQ41" s="19"/>
      <c r="UJR41" s="16"/>
      <c r="UJS41" s="18"/>
      <c r="UJT41" s="13"/>
      <c r="UJU41" s="12"/>
      <c r="UJV41" s="18"/>
      <c r="UJW41" s="12"/>
      <c r="UJX41" s="19"/>
      <c r="UJY41" s="16"/>
      <c r="UJZ41" s="18"/>
      <c r="UKA41" s="13"/>
      <c r="UKB41" s="12"/>
      <c r="UKC41" s="18"/>
      <c r="UKD41" s="12"/>
      <c r="UKE41" s="19"/>
      <c r="UKF41" s="16"/>
      <c r="UKG41" s="18"/>
      <c r="UKH41" s="13"/>
      <c r="UKI41" s="12"/>
      <c r="UKJ41" s="18"/>
      <c r="UKK41" s="12"/>
      <c r="UKL41" s="19"/>
      <c r="UKM41" s="16"/>
      <c r="UKN41" s="18"/>
      <c r="UKO41" s="13"/>
      <c r="UKP41" s="12"/>
      <c r="UKQ41" s="18"/>
      <c r="UKR41" s="12"/>
      <c r="UKS41" s="19"/>
      <c r="UKT41" s="16"/>
      <c r="UKU41" s="18"/>
      <c r="UKV41" s="13"/>
      <c r="UKW41" s="12"/>
      <c r="UKX41" s="18"/>
      <c r="UKY41" s="12"/>
      <c r="UKZ41" s="19"/>
      <c r="ULA41" s="16"/>
      <c r="ULB41" s="18"/>
      <c r="ULC41" s="13"/>
      <c r="ULD41" s="12"/>
      <c r="ULE41" s="18"/>
      <c r="ULF41" s="12"/>
      <c r="ULG41" s="19"/>
      <c r="ULH41" s="16"/>
      <c r="ULI41" s="18"/>
      <c r="ULJ41" s="13"/>
      <c r="ULK41" s="12"/>
      <c r="ULL41" s="18"/>
      <c r="ULM41" s="12"/>
      <c r="ULN41" s="19"/>
      <c r="ULO41" s="16"/>
      <c r="ULP41" s="18"/>
      <c r="ULQ41" s="13"/>
      <c r="ULR41" s="12"/>
      <c r="ULS41" s="18"/>
      <c r="ULT41" s="12"/>
      <c r="ULU41" s="19"/>
      <c r="ULV41" s="16"/>
      <c r="ULW41" s="18"/>
      <c r="ULX41" s="13"/>
      <c r="ULY41" s="12"/>
      <c r="ULZ41" s="18"/>
      <c r="UMA41" s="12"/>
      <c r="UMB41" s="19"/>
      <c r="UMC41" s="16"/>
      <c r="UMD41" s="18"/>
      <c r="UME41" s="13"/>
      <c r="UMF41" s="12"/>
      <c r="UMG41" s="18"/>
      <c r="UMH41" s="12"/>
      <c r="UMI41" s="19"/>
      <c r="UMJ41" s="16"/>
      <c r="UMK41" s="18"/>
      <c r="UML41" s="13"/>
      <c r="UMM41" s="12"/>
      <c r="UMN41" s="18"/>
      <c r="UMO41" s="12"/>
      <c r="UMP41" s="19"/>
      <c r="UMQ41" s="16"/>
      <c r="UMR41" s="18"/>
      <c r="UMS41" s="13"/>
      <c r="UMT41" s="12"/>
      <c r="UMU41" s="18"/>
      <c r="UMV41" s="12"/>
      <c r="UMW41" s="19"/>
      <c r="UMX41" s="16"/>
      <c r="UMY41" s="18"/>
      <c r="UMZ41" s="13"/>
      <c r="UNA41" s="12"/>
      <c r="UNB41" s="18"/>
      <c r="UNC41" s="12"/>
      <c r="UND41" s="19"/>
      <c r="UNE41" s="16"/>
      <c r="UNF41" s="18"/>
      <c r="UNG41" s="13"/>
      <c r="UNH41" s="12"/>
      <c r="UNI41" s="18"/>
      <c r="UNJ41" s="12"/>
      <c r="UNK41" s="19"/>
      <c r="UNL41" s="16"/>
      <c r="UNM41" s="18"/>
      <c r="UNN41" s="13"/>
      <c r="UNO41" s="12"/>
      <c r="UNP41" s="18"/>
      <c r="UNQ41" s="12"/>
      <c r="UNR41" s="19"/>
      <c r="UNS41" s="16"/>
      <c r="UNT41" s="18"/>
      <c r="UNU41" s="13"/>
      <c r="UNV41" s="12"/>
      <c r="UNW41" s="18"/>
      <c r="UNX41" s="12"/>
      <c r="UNY41" s="19"/>
      <c r="UNZ41" s="16"/>
      <c r="UOA41" s="18"/>
      <c r="UOB41" s="13"/>
      <c r="UOC41" s="12"/>
      <c r="UOD41" s="18"/>
      <c r="UOE41" s="12"/>
      <c r="UOF41" s="19"/>
      <c r="UOG41" s="16"/>
      <c r="UOH41" s="18"/>
      <c r="UOI41" s="13"/>
      <c r="UOJ41" s="12"/>
      <c r="UOK41" s="18"/>
      <c r="UOL41" s="12"/>
      <c r="UOM41" s="19"/>
      <c r="UON41" s="16"/>
      <c r="UOO41" s="18"/>
      <c r="UOP41" s="13"/>
      <c r="UOQ41" s="12"/>
      <c r="UOR41" s="18"/>
      <c r="UOS41" s="12"/>
      <c r="UOT41" s="19"/>
      <c r="UOU41" s="16"/>
      <c r="UOV41" s="18"/>
      <c r="UOW41" s="13"/>
      <c r="UOX41" s="12"/>
      <c r="UOY41" s="18"/>
      <c r="UOZ41" s="12"/>
      <c r="UPA41" s="19"/>
      <c r="UPB41" s="16"/>
      <c r="UPC41" s="18"/>
      <c r="UPD41" s="13"/>
      <c r="UPE41" s="12"/>
      <c r="UPF41" s="18"/>
      <c r="UPG41" s="12"/>
      <c r="UPH41" s="19"/>
      <c r="UPI41" s="16"/>
      <c r="UPJ41" s="18"/>
      <c r="UPK41" s="13"/>
      <c r="UPL41" s="12"/>
      <c r="UPM41" s="18"/>
      <c r="UPN41" s="12"/>
      <c r="UPO41" s="19"/>
      <c r="UPP41" s="16"/>
      <c r="UPQ41" s="18"/>
      <c r="UPR41" s="13"/>
      <c r="UPS41" s="12"/>
      <c r="UPT41" s="18"/>
      <c r="UPU41" s="12"/>
      <c r="UPV41" s="19"/>
      <c r="UPW41" s="16"/>
      <c r="UPX41" s="18"/>
      <c r="UPY41" s="13"/>
      <c r="UPZ41" s="12"/>
      <c r="UQA41" s="18"/>
      <c r="UQB41" s="12"/>
      <c r="UQC41" s="19"/>
      <c r="UQD41" s="16"/>
      <c r="UQE41" s="18"/>
      <c r="UQF41" s="13"/>
      <c r="UQG41" s="12"/>
      <c r="UQH41" s="18"/>
      <c r="UQI41" s="12"/>
      <c r="UQJ41" s="19"/>
      <c r="UQK41" s="16"/>
      <c r="UQL41" s="18"/>
      <c r="UQM41" s="13"/>
      <c r="UQN41" s="12"/>
      <c r="UQO41" s="18"/>
      <c r="UQP41" s="12"/>
      <c r="UQQ41" s="19"/>
      <c r="UQR41" s="16"/>
      <c r="UQS41" s="18"/>
      <c r="UQT41" s="13"/>
      <c r="UQU41" s="12"/>
      <c r="UQV41" s="18"/>
      <c r="UQW41" s="12"/>
      <c r="UQX41" s="19"/>
      <c r="UQY41" s="16"/>
      <c r="UQZ41" s="18"/>
      <c r="URA41" s="13"/>
      <c r="URB41" s="12"/>
      <c r="URC41" s="18"/>
      <c r="URD41" s="12"/>
      <c r="URE41" s="19"/>
      <c r="URF41" s="16"/>
      <c r="URG41" s="18"/>
      <c r="URH41" s="13"/>
      <c r="URI41" s="12"/>
      <c r="URJ41" s="18"/>
      <c r="URK41" s="12"/>
      <c r="URL41" s="19"/>
      <c r="URM41" s="16"/>
      <c r="URN41" s="18"/>
      <c r="URO41" s="13"/>
      <c r="URP41" s="12"/>
      <c r="URQ41" s="18"/>
      <c r="URR41" s="12"/>
      <c r="URS41" s="19"/>
      <c r="URT41" s="16"/>
      <c r="URU41" s="18"/>
      <c r="URV41" s="13"/>
      <c r="URW41" s="12"/>
      <c r="URX41" s="18"/>
      <c r="URY41" s="12"/>
      <c r="URZ41" s="19"/>
      <c r="USA41" s="16"/>
      <c r="USB41" s="18"/>
      <c r="USC41" s="13"/>
      <c r="USD41" s="12"/>
      <c r="USE41" s="18"/>
      <c r="USF41" s="12"/>
      <c r="USG41" s="19"/>
      <c r="USH41" s="16"/>
      <c r="USI41" s="18"/>
      <c r="USJ41" s="13"/>
      <c r="USK41" s="12"/>
      <c r="USL41" s="18"/>
      <c r="USM41" s="12"/>
      <c r="USN41" s="19"/>
      <c r="USO41" s="16"/>
      <c r="USP41" s="18"/>
      <c r="USQ41" s="13"/>
      <c r="USR41" s="12"/>
      <c r="USS41" s="18"/>
      <c r="UST41" s="12"/>
      <c r="USU41" s="19"/>
      <c r="USV41" s="16"/>
      <c r="USW41" s="18"/>
      <c r="USX41" s="13"/>
      <c r="USY41" s="12"/>
      <c r="USZ41" s="18"/>
      <c r="UTA41" s="12"/>
      <c r="UTB41" s="19"/>
      <c r="UTC41" s="16"/>
      <c r="UTD41" s="18"/>
      <c r="UTE41" s="13"/>
      <c r="UTF41" s="12"/>
      <c r="UTG41" s="18"/>
      <c r="UTH41" s="12"/>
      <c r="UTI41" s="19"/>
      <c r="UTJ41" s="16"/>
      <c r="UTK41" s="18"/>
      <c r="UTL41" s="13"/>
      <c r="UTM41" s="12"/>
      <c r="UTN41" s="18"/>
      <c r="UTO41" s="12"/>
      <c r="UTP41" s="19"/>
      <c r="UTQ41" s="16"/>
      <c r="UTR41" s="18"/>
      <c r="UTS41" s="13"/>
      <c r="UTT41" s="12"/>
      <c r="UTU41" s="18"/>
      <c r="UTV41" s="12"/>
      <c r="UTW41" s="19"/>
      <c r="UTX41" s="16"/>
      <c r="UTY41" s="18"/>
      <c r="UTZ41" s="13"/>
      <c r="UUA41" s="12"/>
      <c r="UUB41" s="18"/>
      <c r="UUC41" s="12"/>
      <c r="UUD41" s="19"/>
      <c r="UUE41" s="16"/>
      <c r="UUF41" s="18"/>
      <c r="UUG41" s="13"/>
      <c r="UUH41" s="12"/>
      <c r="UUI41" s="18"/>
      <c r="UUJ41" s="12"/>
      <c r="UUK41" s="19"/>
      <c r="UUL41" s="16"/>
      <c r="UUM41" s="18"/>
      <c r="UUN41" s="13"/>
      <c r="UUO41" s="12"/>
      <c r="UUP41" s="18"/>
      <c r="UUQ41" s="12"/>
      <c r="UUR41" s="19"/>
      <c r="UUS41" s="16"/>
      <c r="UUT41" s="18"/>
      <c r="UUU41" s="13"/>
      <c r="UUV41" s="12"/>
      <c r="UUW41" s="18"/>
      <c r="UUX41" s="12"/>
      <c r="UUY41" s="19"/>
      <c r="UUZ41" s="16"/>
      <c r="UVA41" s="18"/>
      <c r="UVB41" s="13"/>
      <c r="UVC41" s="12"/>
      <c r="UVD41" s="18"/>
      <c r="UVE41" s="12"/>
      <c r="UVF41" s="19"/>
      <c r="UVG41" s="16"/>
      <c r="UVH41" s="18"/>
      <c r="UVI41" s="13"/>
      <c r="UVJ41" s="12"/>
      <c r="UVK41" s="18"/>
      <c r="UVL41" s="12"/>
      <c r="UVM41" s="19"/>
      <c r="UVN41" s="16"/>
      <c r="UVO41" s="18"/>
      <c r="UVP41" s="13"/>
      <c r="UVQ41" s="12"/>
      <c r="UVR41" s="18"/>
      <c r="UVS41" s="12"/>
      <c r="UVT41" s="19"/>
      <c r="UVU41" s="16"/>
      <c r="UVV41" s="18"/>
      <c r="UVW41" s="13"/>
      <c r="UVX41" s="12"/>
      <c r="UVY41" s="18"/>
      <c r="UVZ41" s="12"/>
      <c r="UWA41" s="19"/>
      <c r="UWB41" s="16"/>
      <c r="UWC41" s="18"/>
      <c r="UWD41" s="13"/>
      <c r="UWE41" s="12"/>
      <c r="UWF41" s="18"/>
      <c r="UWG41" s="12"/>
      <c r="UWH41" s="19"/>
      <c r="UWI41" s="16"/>
      <c r="UWJ41" s="18"/>
      <c r="UWK41" s="13"/>
      <c r="UWL41" s="12"/>
      <c r="UWM41" s="18"/>
      <c r="UWN41" s="12"/>
      <c r="UWO41" s="19"/>
      <c r="UWP41" s="16"/>
      <c r="UWQ41" s="18"/>
      <c r="UWR41" s="13"/>
      <c r="UWS41" s="12"/>
      <c r="UWT41" s="18"/>
      <c r="UWU41" s="12"/>
      <c r="UWV41" s="19"/>
      <c r="UWW41" s="16"/>
      <c r="UWX41" s="18"/>
      <c r="UWY41" s="13"/>
      <c r="UWZ41" s="12"/>
      <c r="UXA41" s="18"/>
      <c r="UXB41" s="12"/>
      <c r="UXC41" s="19"/>
      <c r="UXD41" s="16"/>
      <c r="UXE41" s="18"/>
      <c r="UXF41" s="13"/>
      <c r="UXG41" s="12"/>
      <c r="UXH41" s="18"/>
      <c r="UXI41" s="12"/>
      <c r="UXJ41" s="19"/>
      <c r="UXK41" s="16"/>
      <c r="UXL41" s="18"/>
      <c r="UXM41" s="13"/>
      <c r="UXN41" s="12"/>
      <c r="UXO41" s="18"/>
      <c r="UXP41" s="12"/>
      <c r="UXQ41" s="19"/>
      <c r="UXR41" s="16"/>
      <c r="UXS41" s="18"/>
      <c r="UXT41" s="13"/>
      <c r="UXU41" s="12"/>
      <c r="UXV41" s="18"/>
      <c r="UXW41" s="12"/>
      <c r="UXX41" s="19"/>
      <c r="UXY41" s="16"/>
      <c r="UXZ41" s="18"/>
      <c r="UYA41" s="13"/>
      <c r="UYB41" s="12"/>
      <c r="UYC41" s="18"/>
      <c r="UYD41" s="12"/>
      <c r="UYE41" s="19"/>
      <c r="UYF41" s="16"/>
      <c r="UYG41" s="18"/>
      <c r="UYH41" s="13"/>
      <c r="UYI41" s="12"/>
      <c r="UYJ41" s="18"/>
      <c r="UYK41" s="12"/>
      <c r="UYL41" s="19"/>
      <c r="UYM41" s="16"/>
      <c r="UYN41" s="18"/>
      <c r="UYO41" s="13"/>
      <c r="UYP41" s="12"/>
      <c r="UYQ41" s="18"/>
      <c r="UYR41" s="12"/>
      <c r="UYS41" s="19"/>
      <c r="UYT41" s="16"/>
      <c r="UYU41" s="18"/>
      <c r="UYV41" s="13"/>
      <c r="UYW41" s="12"/>
      <c r="UYX41" s="18"/>
      <c r="UYY41" s="12"/>
      <c r="UYZ41" s="19"/>
      <c r="UZA41" s="16"/>
      <c r="UZB41" s="18"/>
      <c r="UZC41" s="13"/>
      <c r="UZD41" s="12"/>
      <c r="UZE41" s="18"/>
      <c r="UZF41" s="12"/>
      <c r="UZG41" s="19"/>
      <c r="UZH41" s="16"/>
      <c r="UZI41" s="18"/>
      <c r="UZJ41" s="13"/>
      <c r="UZK41" s="12"/>
      <c r="UZL41" s="18"/>
      <c r="UZM41" s="12"/>
      <c r="UZN41" s="19"/>
      <c r="UZO41" s="16"/>
      <c r="UZP41" s="18"/>
      <c r="UZQ41" s="13"/>
      <c r="UZR41" s="12"/>
      <c r="UZS41" s="18"/>
      <c r="UZT41" s="12"/>
      <c r="UZU41" s="19"/>
      <c r="UZV41" s="16"/>
      <c r="UZW41" s="18"/>
      <c r="UZX41" s="13"/>
      <c r="UZY41" s="12"/>
      <c r="UZZ41" s="18"/>
      <c r="VAA41" s="12"/>
      <c r="VAB41" s="19"/>
      <c r="VAC41" s="16"/>
      <c r="VAD41" s="18"/>
      <c r="VAE41" s="13"/>
      <c r="VAF41" s="12"/>
      <c r="VAG41" s="18"/>
      <c r="VAH41" s="12"/>
      <c r="VAI41" s="19"/>
      <c r="VAJ41" s="16"/>
      <c r="VAK41" s="18"/>
      <c r="VAL41" s="13"/>
      <c r="VAM41" s="12"/>
      <c r="VAN41" s="18"/>
      <c r="VAO41" s="12"/>
      <c r="VAP41" s="19"/>
      <c r="VAQ41" s="16"/>
      <c r="VAR41" s="18"/>
      <c r="VAS41" s="13"/>
      <c r="VAT41" s="12"/>
      <c r="VAU41" s="18"/>
      <c r="VAV41" s="12"/>
      <c r="VAW41" s="19"/>
      <c r="VAX41" s="16"/>
      <c r="VAY41" s="18"/>
      <c r="VAZ41" s="13"/>
      <c r="VBA41" s="12"/>
      <c r="VBB41" s="18"/>
      <c r="VBC41" s="12"/>
      <c r="VBD41" s="19"/>
      <c r="VBE41" s="16"/>
      <c r="VBF41" s="18"/>
      <c r="VBG41" s="13"/>
      <c r="VBH41" s="12"/>
      <c r="VBI41" s="18"/>
      <c r="VBJ41" s="12"/>
      <c r="VBK41" s="19"/>
      <c r="VBL41" s="16"/>
      <c r="VBM41" s="18"/>
      <c r="VBN41" s="13"/>
      <c r="VBO41" s="12"/>
      <c r="VBP41" s="18"/>
      <c r="VBQ41" s="12"/>
      <c r="VBR41" s="19"/>
      <c r="VBS41" s="16"/>
      <c r="VBT41" s="18"/>
      <c r="VBU41" s="13"/>
      <c r="VBV41" s="12"/>
      <c r="VBW41" s="18"/>
      <c r="VBX41" s="12"/>
      <c r="VBY41" s="19"/>
      <c r="VBZ41" s="16"/>
      <c r="VCA41" s="18"/>
      <c r="VCB41" s="13"/>
      <c r="VCC41" s="12"/>
      <c r="VCD41" s="18"/>
      <c r="VCE41" s="12"/>
      <c r="VCF41" s="19"/>
      <c r="VCG41" s="16"/>
      <c r="VCH41" s="18"/>
      <c r="VCI41" s="13"/>
      <c r="VCJ41" s="12"/>
      <c r="VCK41" s="18"/>
      <c r="VCL41" s="12"/>
      <c r="VCM41" s="19"/>
      <c r="VCN41" s="16"/>
      <c r="VCO41" s="18"/>
      <c r="VCP41" s="13"/>
      <c r="VCQ41" s="12"/>
      <c r="VCR41" s="18"/>
      <c r="VCS41" s="12"/>
      <c r="VCT41" s="19"/>
      <c r="VCU41" s="16"/>
      <c r="VCV41" s="18"/>
      <c r="VCW41" s="13"/>
      <c r="VCX41" s="12"/>
      <c r="VCY41" s="18"/>
      <c r="VCZ41" s="12"/>
      <c r="VDA41" s="19"/>
      <c r="VDB41" s="16"/>
      <c r="VDC41" s="18"/>
      <c r="VDD41" s="13"/>
      <c r="VDE41" s="12"/>
      <c r="VDF41" s="18"/>
      <c r="VDG41" s="12"/>
      <c r="VDH41" s="19"/>
      <c r="VDI41" s="16"/>
      <c r="VDJ41" s="18"/>
      <c r="VDK41" s="13"/>
      <c r="VDL41" s="12"/>
      <c r="VDM41" s="18"/>
      <c r="VDN41" s="12"/>
      <c r="VDO41" s="19"/>
      <c r="VDP41" s="16"/>
      <c r="VDQ41" s="18"/>
      <c r="VDR41" s="13"/>
      <c r="VDS41" s="12"/>
      <c r="VDT41" s="18"/>
      <c r="VDU41" s="12"/>
      <c r="VDV41" s="19"/>
      <c r="VDW41" s="16"/>
      <c r="VDX41" s="18"/>
      <c r="VDY41" s="13"/>
      <c r="VDZ41" s="12"/>
      <c r="VEA41" s="18"/>
      <c r="VEB41" s="12"/>
      <c r="VEC41" s="19"/>
      <c r="VED41" s="16"/>
      <c r="VEE41" s="18"/>
      <c r="VEF41" s="13"/>
      <c r="VEG41" s="12"/>
      <c r="VEH41" s="18"/>
      <c r="VEI41" s="12"/>
      <c r="VEJ41" s="19"/>
      <c r="VEK41" s="16"/>
      <c r="VEL41" s="18"/>
      <c r="VEM41" s="13"/>
      <c r="VEN41" s="12"/>
      <c r="VEO41" s="18"/>
      <c r="VEP41" s="12"/>
      <c r="VEQ41" s="19"/>
      <c r="VER41" s="16"/>
      <c r="VES41" s="18"/>
      <c r="VET41" s="13"/>
      <c r="VEU41" s="12"/>
      <c r="VEV41" s="18"/>
      <c r="VEW41" s="12"/>
      <c r="VEX41" s="19"/>
      <c r="VEY41" s="16"/>
      <c r="VEZ41" s="18"/>
      <c r="VFA41" s="13"/>
      <c r="VFB41" s="12"/>
      <c r="VFC41" s="18"/>
      <c r="VFD41" s="12"/>
      <c r="VFE41" s="19"/>
      <c r="VFF41" s="16"/>
      <c r="VFG41" s="18"/>
      <c r="VFH41" s="13"/>
      <c r="VFI41" s="12"/>
      <c r="VFJ41" s="18"/>
      <c r="VFK41" s="12"/>
      <c r="VFL41" s="19"/>
      <c r="VFM41" s="16"/>
      <c r="VFN41" s="18"/>
      <c r="VFO41" s="13"/>
      <c r="VFP41" s="12"/>
      <c r="VFQ41" s="18"/>
      <c r="VFR41" s="12"/>
      <c r="VFS41" s="19"/>
      <c r="VFT41" s="16"/>
      <c r="VFU41" s="18"/>
      <c r="VFV41" s="13"/>
      <c r="VFW41" s="12"/>
      <c r="VFX41" s="18"/>
      <c r="VFY41" s="12"/>
      <c r="VFZ41" s="19"/>
      <c r="VGA41" s="16"/>
      <c r="VGB41" s="18"/>
      <c r="VGC41" s="13"/>
      <c r="VGD41" s="12"/>
      <c r="VGE41" s="18"/>
      <c r="VGF41" s="12"/>
      <c r="VGG41" s="19"/>
      <c r="VGH41" s="16"/>
      <c r="VGI41" s="18"/>
      <c r="VGJ41" s="13"/>
      <c r="VGK41" s="12"/>
      <c r="VGL41" s="18"/>
      <c r="VGM41" s="12"/>
      <c r="VGN41" s="19"/>
      <c r="VGO41" s="16"/>
      <c r="VGP41" s="18"/>
      <c r="VGQ41" s="13"/>
      <c r="VGR41" s="12"/>
      <c r="VGS41" s="18"/>
      <c r="VGT41" s="12"/>
      <c r="VGU41" s="19"/>
      <c r="VGV41" s="16"/>
      <c r="VGW41" s="18"/>
      <c r="VGX41" s="13"/>
      <c r="VGY41" s="12"/>
      <c r="VGZ41" s="18"/>
      <c r="VHA41" s="12"/>
      <c r="VHB41" s="19"/>
      <c r="VHC41" s="16"/>
      <c r="VHD41" s="18"/>
      <c r="VHE41" s="13"/>
      <c r="VHF41" s="12"/>
      <c r="VHG41" s="18"/>
      <c r="VHH41" s="12"/>
      <c r="VHI41" s="19"/>
      <c r="VHJ41" s="16"/>
      <c r="VHK41" s="18"/>
      <c r="VHL41" s="13"/>
      <c r="VHM41" s="12"/>
      <c r="VHN41" s="18"/>
      <c r="VHO41" s="12"/>
      <c r="VHP41" s="19"/>
      <c r="VHQ41" s="16"/>
      <c r="VHR41" s="18"/>
      <c r="VHS41" s="13"/>
      <c r="VHT41" s="12"/>
      <c r="VHU41" s="18"/>
      <c r="VHV41" s="12"/>
      <c r="VHW41" s="19"/>
      <c r="VHX41" s="16"/>
      <c r="VHY41" s="18"/>
      <c r="VHZ41" s="13"/>
      <c r="VIA41" s="12"/>
      <c r="VIB41" s="18"/>
      <c r="VIC41" s="12"/>
      <c r="VID41" s="19"/>
      <c r="VIE41" s="16"/>
      <c r="VIF41" s="18"/>
      <c r="VIG41" s="13"/>
      <c r="VIH41" s="12"/>
      <c r="VII41" s="18"/>
      <c r="VIJ41" s="12"/>
      <c r="VIK41" s="19"/>
      <c r="VIL41" s="16"/>
      <c r="VIM41" s="18"/>
      <c r="VIN41" s="13"/>
      <c r="VIO41" s="12"/>
      <c r="VIP41" s="18"/>
      <c r="VIQ41" s="12"/>
      <c r="VIR41" s="19"/>
      <c r="VIS41" s="16"/>
      <c r="VIT41" s="18"/>
      <c r="VIU41" s="13"/>
      <c r="VIV41" s="12"/>
      <c r="VIW41" s="18"/>
      <c r="VIX41" s="12"/>
      <c r="VIY41" s="19"/>
      <c r="VIZ41" s="16"/>
      <c r="VJA41" s="18"/>
      <c r="VJB41" s="13"/>
      <c r="VJC41" s="12"/>
      <c r="VJD41" s="18"/>
      <c r="VJE41" s="12"/>
      <c r="VJF41" s="19"/>
      <c r="VJG41" s="16"/>
      <c r="VJH41" s="18"/>
      <c r="VJI41" s="13"/>
      <c r="VJJ41" s="12"/>
      <c r="VJK41" s="18"/>
      <c r="VJL41" s="12"/>
      <c r="VJM41" s="19"/>
      <c r="VJN41" s="16"/>
      <c r="VJO41" s="18"/>
      <c r="VJP41" s="13"/>
      <c r="VJQ41" s="12"/>
      <c r="VJR41" s="18"/>
      <c r="VJS41" s="12"/>
      <c r="VJT41" s="19"/>
      <c r="VJU41" s="16"/>
      <c r="VJV41" s="18"/>
      <c r="VJW41" s="13"/>
      <c r="VJX41" s="12"/>
      <c r="VJY41" s="18"/>
      <c r="VJZ41" s="12"/>
      <c r="VKA41" s="19"/>
      <c r="VKB41" s="16"/>
      <c r="VKC41" s="18"/>
      <c r="VKD41" s="13"/>
      <c r="VKE41" s="12"/>
      <c r="VKF41" s="18"/>
      <c r="VKG41" s="12"/>
      <c r="VKH41" s="19"/>
      <c r="VKI41" s="16"/>
      <c r="VKJ41" s="18"/>
      <c r="VKK41" s="13"/>
      <c r="VKL41" s="12"/>
      <c r="VKM41" s="18"/>
      <c r="VKN41" s="12"/>
      <c r="VKO41" s="19"/>
      <c r="VKP41" s="16"/>
      <c r="VKQ41" s="18"/>
      <c r="VKR41" s="13"/>
      <c r="VKS41" s="12"/>
      <c r="VKT41" s="18"/>
      <c r="VKU41" s="12"/>
      <c r="VKV41" s="19"/>
      <c r="VKW41" s="16"/>
      <c r="VKX41" s="18"/>
      <c r="VKY41" s="13"/>
      <c r="VKZ41" s="12"/>
      <c r="VLA41" s="18"/>
      <c r="VLB41" s="12"/>
      <c r="VLC41" s="19"/>
      <c r="VLD41" s="16"/>
      <c r="VLE41" s="18"/>
      <c r="VLF41" s="13"/>
      <c r="VLG41" s="12"/>
      <c r="VLH41" s="18"/>
      <c r="VLI41" s="12"/>
      <c r="VLJ41" s="19"/>
      <c r="VLK41" s="16"/>
      <c r="VLL41" s="18"/>
      <c r="VLM41" s="13"/>
      <c r="VLN41" s="12"/>
      <c r="VLO41" s="18"/>
      <c r="VLP41" s="12"/>
      <c r="VLQ41" s="19"/>
      <c r="VLR41" s="16"/>
      <c r="VLS41" s="18"/>
      <c r="VLT41" s="13"/>
      <c r="VLU41" s="12"/>
      <c r="VLV41" s="18"/>
      <c r="VLW41" s="12"/>
      <c r="VLX41" s="19"/>
      <c r="VLY41" s="16"/>
      <c r="VLZ41" s="18"/>
      <c r="VMA41" s="13"/>
      <c r="VMB41" s="12"/>
      <c r="VMC41" s="18"/>
      <c r="VMD41" s="12"/>
      <c r="VME41" s="19"/>
      <c r="VMF41" s="16"/>
      <c r="VMG41" s="18"/>
      <c r="VMH41" s="13"/>
      <c r="VMI41" s="12"/>
      <c r="VMJ41" s="18"/>
      <c r="VMK41" s="12"/>
      <c r="VML41" s="19"/>
      <c r="VMM41" s="16"/>
      <c r="VMN41" s="18"/>
      <c r="VMO41" s="13"/>
      <c r="VMP41" s="12"/>
      <c r="VMQ41" s="18"/>
      <c r="VMR41" s="12"/>
      <c r="VMS41" s="19"/>
      <c r="VMT41" s="16"/>
      <c r="VMU41" s="18"/>
      <c r="VMV41" s="13"/>
      <c r="VMW41" s="12"/>
      <c r="VMX41" s="18"/>
      <c r="VMY41" s="12"/>
      <c r="VMZ41" s="19"/>
      <c r="VNA41" s="16"/>
      <c r="VNB41" s="18"/>
      <c r="VNC41" s="13"/>
      <c r="VND41" s="12"/>
      <c r="VNE41" s="18"/>
      <c r="VNF41" s="12"/>
      <c r="VNG41" s="19"/>
      <c r="VNH41" s="16"/>
      <c r="VNI41" s="18"/>
      <c r="VNJ41" s="13"/>
      <c r="VNK41" s="12"/>
      <c r="VNL41" s="18"/>
      <c r="VNM41" s="12"/>
      <c r="VNN41" s="19"/>
      <c r="VNO41" s="16"/>
      <c r="VNP41" s="18"/>
      <c r="VNQ41" s="13"/>
      <c r="VNR41" s="12"/>
      <c r="VNS41" s="18"/>
      <c r="VNT41" s="12"/>
      <c r="VNU41" s="19"/>
      <c r="VNV41" s="16"/>
      <c r="VNW41" s="18"/>
      <c r="VNX41" s="13"/>
      <c r="VNY41" s="12"/>
      <c r="VNZ41" s="18"/>
      <c r="VOA41" s="12"/>
      <c r="VOB41" s="19"/>
      <c r="VOC41" s="16"/>
      <c r="VOD41" s="18"/>
      <c r="VOE41" s="13"/>
      <c r="VOF41" s="12"/>
      <c r="VOG41" s="18"/>
      <c r="VOH41" s="12"/>
      <c r="VOI41" s="19"/>
      <c r="VOJ41" s="16"/>
      <c r="VOK41" s="18"/>
      <c r="VOL41" s="13"/>
      <c r="VOM41" s="12"/>
      <c r="VON41" s="18"/>
      <c r="VOO41" s="12"/>
      <c r="VOP41" s="19"/>
      <c r="VOQ41" s="16"/>
      <c r="VOR41" s="18"/>
      <c r="VOS41" s="13"/>
      <c r="VOT41" s="12"/>
      <c r="VOU41" s="18"/>
      <c r="VOV41" s="12"/>
      <c r="VOW41" s="19"/>
      <c r="VOX41" s="16"/>
      <c r="VOY41" s="18"/>
      <c r="VOZ41" s="13"/>
      <c r="VPA41" s="12"/>
      <c r="VPB41" s="18"/>
      <c r="VPC41" s="12"/>
      <c r="VPD41" s="19"/>
      <c r="VPE41" s="16"/>
      <c r="VPF41" s="18"/>
      <c r="VPG41" s="13"/>
      <c r="VPH41" s="12"/>
      <c r="VPI41" s="18"/>
      <c r="VPJ41" s="12"/>
      <c r="VPK41" s="19"/>
      <c r="VPL41" s="16"/>
      <c r="VPM41" s="18"/>
      <c r="VPN41" s="13"/>
      <c r="VPO41" s="12"/>
      <c r="VPP41" s="18"/>
      <c r="VPQ41" s="12"/>
      <c r="VPR41" s="19"/>
      <c r="VPS41" s="16"/>
      <c r="VPT41" s="18"/>
      <c r="VPU41" s="13"/>
      <c r="VPV41" s="12"/>
      <c r="VPW41" s="18"/>
      <c r="VPX41" s="12"/>
      <c r="VPY41" s="19"/>
      <c r="VPZ41" s="16"/>
      <c r="VQA41" s="18"/>
      <c r="VQB41" s="13"/>
      <c r="VQC41" s="12"/>
      <c r="VQD41" s="18"/>
      <c r="VQE41" s="12"/>
      <c r="VQF41" s="19"/>
      <c r="VQG41" s="16"/>
      <c r="VQH41" s="18"/>
      <c r="VQI41" s="13"/>
      <c r="VQJ41" s="12"/>
      <c r="VQK41" s="18"/>
      <c r="VQL41" s="12"/>
      <c r="VQM41" s="19"/>
      <c r="VQN41" s="16"/>
      <c r="VQO41" s="18"/>
      <c r="VQP41" s="13"/>
      <c r="VQQ41" s="12"/>
      <c r="VQR41" s="18"/>
      <c r="VQS41" s="12"/>
      <c r="VQT41" s="19"/>
      <c r="VQU41" s="16"/>
      <c r="VQV41" s="18"/>
      <c r="VQW41" s="13"/>
      <c r="VQX41" s="12"/>
      <c r="VQY41" s="18"/>
      <c r="VQZ41" s="12"/>
      <c r="VRA41" s="19"/>
      <c r="VRB41" s="16"/>
      <c r="VRC41" s="18"/>
      <c r="VRD41" s="13"/>
      <c r="VRE41" s="12"/>
      <c r="VRF41" s="18"/>
      <c r="VRG41" s="12"/>
      <c r="VRH41" s="19"/>
      <c r="VRI41" s="16"/>
      <c r="VRJ41" s="18"/>
      <c r="VRK41" s="13"/>
      <c r="VRL41" s="12"/>
      <c r="VRM41" s="18"/>
      <c r="VRN41" s="12"/>
      <c r="VRO41" s="19"/>
      <c r="VRP41" s="16"/>
      <c r="VRQ41" s="18"/>
      <c r="VRR41" s="13"/>
      <c r="VRS41" s="12"/>
      <c r="VRT41" s="18"/>
      <c r="VRU41" s="12"/>
      <c r="VRV41" s="19"/>
      <c r="VRW41" s="16"/>
      <c r="VRX41" s="18"/>
      <c r="VRY41" s="13"/>
      <c r="VRZ41" s="12"/>
      <c r="VSA41" s="18"/>
      <c r="VSB41" s="12"/>
      <c r="VSC41" s="19"/>
      <c r="VSD41" s="16"/>
      <c r="VSE41" s="18"/>
      <c r="VSF41" s="13"/>
      <c r="VSG41" s="12"/>
      <c r="VSH41" s="18"/>
      <c r="VSI41" s="12"/>
      <c r="VSJ41" s="19"/>
      <c r="VSK41" s="16"/>
      <c r="VSL41" s="18"/>
      <c r="VSM41" s="13"/>
      <c r="VSN41" s="12"/>
      <c r="VSO41" s="18"/>
      <c r="VSP41" s="12"/>
      <c r="VSQ41" s="19"/>
      <c r="VSR41" s="16"/>
      <c r="VSS41" s="18"/>
      <c r="VST41" s="13"/>
      <c r="VSU41" s="12"/>
      <c r="VSV41" s="18"/>
      <c r="VSW41" s="12"/>
      <c r="VSX41" s="19"/>
      <c r="VSY41" s="16"/>
      <c r="VSZ41" s="18"/>
      <c r="VTA41" s="13"/>
      <c r="VTB41" s="12"/>
      <c r="VTC41" s="18"/>
      <c r="VTD41" s="12"/>
      <c r="VTE41" s="19"/>
      <c r="VTF41" s="16"/>
      <c r="VTG41" s="18"/>
      <c r="VTH41" s="13"/>
      <c r="VTI41" s="12"/>
      <c r="VTJ41" s="18"/>
      <c r="VTK41" s="12"/>
      <c r="VTL41" s="19"/>
      <c r="VTM41" s="16"/>
      <c r="VTN41" s="18"/>
      <c r="VTO41" s="13"/>
      <c r="VTP41" s="12"/>
      <c r="VTQ41" s="18"/>
      <c r="VTR41" s="12"/>
      <c r="VTS41" s="19"/>
      <c r="VTT41" s="16"/>
      <c r="VTU41" s="18"/>
      <c r="VTV41" s="13"/>
      <c r="VTW41" s="12"/>
      <c r="VTX41" s="18"/>
      <c r="VTY41" s="12"/>
      <c r="VTZ41" s="19"/>
      <c r="VUA41" s="16"/>
      <c r="VUB41" s="18"/>
      <c r="VUC41" s="13"/>
      <c r="VUD41" s="12"/>
      <c r="VUE41" s="18"/>
      <c r="VUF41" s="12"/>
      <c r="VUG41" s="19"/>
      <c r="VUH41" s="16"/>
      <c r="VUI41" s="18"/>
      <c r="VUJ41" s="13"/>
      <c r="VUK41" s="12"/>
      <c r="VUL41" s="18"/>
      <c r="VUM41" s="12"/>
      <c r="VUN41" s="19"/>
      <c r="VUO41" s="16"/>
      <c r="VUP41" s="18"/>
      <c r="VUQ41" s="13"/>
      <c r="VUR41" s="12"/>
      <c r="VUS41" s="18"/>
      <c r="VUT41" s="12"/>
      <c r="VUU41" s="19"/>
      <c r="VUV41" s="16"/>
      <c r="VUW41" s="18"/>
      <c r="VUX41" s="13"/>
      <c r="VUY41" s="12"/>
      <c r="VUZ41" s="18"/>
      <c r="VVA41" s="12"/>
      <c r="VVB41" s="19"/>
      <c r="VVC41" s="16"/>
      <c r="VVD41" s="18"/>
      <c r="VVE41" s="13"/>
      <c r="VVF41" s="12"/>
      <c r="VVG41" s="18"/>
      <c r="VVH41" s="12"/>
      <c r="VVI41" s="19"/>
      <c r="VVJ41" s="16"/>
      <c r="VVK41" s="18"/>
      <c r="VVL41" s="13"/>
      <c r="VVM41" s="12"/>
      <c r="VVN41" s="18"/>
      <c r="VVO41" s="12"/>
      <c r="VVP41" s="19"/>
      <c r="VVQ41" s="16"/>
      <c r="VVR41" s="18"/>
      <c r="VVS41" s="13"/>
      <c r="VVT41" s="12"/>
      <c r="VVU41" s="18"/>
      <c r="VVV41" s="12"/>
      <c r="VVW41" s="19"/>
      <c r="VVX41" s="16"/>
      <c r="VVY41" s="18"/>
      <c r="VVZ41" s="13"/>
      <c r="VWA41" s="12"/>
      <c r="VWB41" s="18"/>
      <c r="VWC41" s="12"/>
      <c r="VWD41" s="19"/>
      <c r="VWE41" s="16"/>
      <c r="VWF41" s="18"/>
      <c r="VWG41" s="13"/>
      <c r="VWH41" s="12"/>
      <c r="VWI41" s="18"/>
      <c r="VWJ41" s="12"/>
      <c r="VWK41" s="19"/>
      <c r="VWL41" s="16"/>
      <c r="VWM41" s="18"/>
      <c r="VWN41" s="13"/>
      <c r="VWO41" s="12"/>
      <c r="VWP41" s="18"/>
      <c r="VWQ41" s="12"/>
      <c r="VWR41" s="19"/>
      <c r="VWS41" s="16"/>
      <c r="VWT41" s="18"/>
      <c r="VWU41" s="13"/>
      <c r="VWV41" s="12"/>
      <c r="VWW41" s="18"/>
      <c r="VWX41" s="12"/>
      <c r="VWY41" s="19"/>
      <c r="VWZ41" s="16"/>
      <c r="VXA41" s="18"/>
      <c r="VXB41" s="13"/>
      <c r="VXC41" s="12"/>
      <c r="VXD41" s="18"/>
      <c r="VXE41" s="12"/>
      <c r="VXF41" s="19"/>
      <c r="VXG41" s="16"/>
      <c r="VXH41" s="18"/>
      <c r="VXI41" s="13"/>
      <c r="VXJ41" s="12"/>
      <c r="VXK41" s="18"/>
      <c r="VXL41" s="12"/>
      <c r="VXM41" s="19"/>
      <c r="VXN41" s="16"/>
      <c r="VXO41" s="18"/>
      <c r="VXP41" s="13"/>
      <c r="VXQ41" s="12"/>
      <c r="VXR41" s="18"/>
      <c r="VXS41" s="12"/>
      <c r="VXT41" s="19"/>
      <c r="VXU41" s="16"/>
      <c r="VXV41" s="18"/>
      <c r="VXW41" s="13"/>
      <c r="VXX41" s="12"/>
      <c r="VXY41" s="18"/>
      <c r="VXZ41" s="12"/>
      <c r="VYA41" s="19"/>
      <c r="VYB41" s="16"/>
      <c r="VYC41" s="18"/>
      <c r="VYD41" s="13"/>
      <c r="VYE41" s="12"/>
      <c r="VYF41" s="18"/>
      <c r="VYG41" s="12"/>
      <c r="VYH41" s="19"/>
      <c r="VYI41" s="16"/>
      <c r="VYJ41" s="18"/>
      <c r="VYK41" s="13"/>
      <c r="VYL41" s="12"/>
      <c r="VYM41" s="18"/>
      <c r="VYN41" s="12"/>
      <c r="VYO41" s="19"/>
      <c r="VYP41" s="16"/>
      <c r="VYQ41" s="18"/>
      <c r="VYR41" s="13"/>
      <c r="VYS41" s="12"/>
      <c r="VYT41" s="18"/>
      <c r="VYU41" s="12"/>
      <c r="VYV41" s="19"/>
      <c r="VYW41" s="16"/>
      <c r="VYX41" s="18"/>
      <c r="VYY41" s="13"/>
      <c r="VYZ41" s="12"/>
      <c r="VZA41" s="18"/>
      <c r="VZB41" s="12"/>
      <c r="VZC41" s="19"/>
      <c r="VZD41" s="16"/>
      <c r="VZE41" s="18"/>
      <c r="VZF41" s="13"/>
      <c r="VZG41" s="12"/>
      <c r="VZH41" s="18"/>
      <c r="VZI41" s="12"/>
      <c r="VZJ41" s="19"/>
      <c r="VZK41" s="16"/>
      <c r="VZL41" s="18"/>
      <c r="VZM41" s="13"/>
      <c r="VZN41" s="12"/>
      <c r="VZO41" s="18"/>
      <c r="VZP41" s="12"/>
      <c r="VZQ41" s="19"/>
      <c r="VZR41" s="16"/>
      <c r="VZS41" s="18"/>
      <c r="VZT41" s="13"/>
      <c r="VZU41" s="12"/>
      <c r="VZV41" s="18"/>
      <c r="VZW41" s="12"/>
      <c r="VZX41" s="19"/>
      <c r="VZY41" s="16"/>
      <c r="VZZ41" s="18"/>
      <c r="WAA41" s="13"/>
      <c r="WAB41" s="12"/>
      <c r="WAC41" s="18"/>
      <c r="WAD41" s="12"/>
      <c r="WAE41" s="19"/>
      <c r="WAF41" s="16"/>
      <c r="WAG41" s="18"/>
      <c r="WAH41" s="13"/>
      <c r="WAI41" s="12"/>
      <c r="WAJ41" s="18"/>
      <c r="WAK41" s="12"/>
      <c r="WAL41" s="19"/>
      <c r="WAM41" s="16"/>
      <c r="WAN41" s="18"/>
      <c r="WAO41" s="13"/>
      <c r="WAP41" s="12"/>
      <c r="WAQ41" s="18"/>
      <c r="WAR41" s="12"/>
      <c r="WAS41" s="19"/>
      <c r="WAT41" s="16"/>
      <c r="WAU41" s="18"/>
      <c r="WAV41" s="13"/>
      <c r="WAW41" s="12"/>
      <c r="WAX41" s="18"/>
      <c r="WAY41" s="12"/>
      <c r="WAZ41" s="19"/>
      <c r="WBA41" s="16"/>
      <c r="WBB41" s="18"/>
      <c r="WBC41" s="13"/>
      <c r="WBD41" s="12"/>
      <c r="WBE41" s="18"/>
      <c r="WBF41" s="12"/>
      <c r="WBG41" s="19"/>
      <c r="WBH41" s="16"/>
      <c r="WBI41" s="18"/>
      <c r="WBJ41" s="13"/>
      <c r="WBK41" s="12"/>
      <c r="WBL41" s="18"/>
      <c r="WBM41" s="12"/>
      <c r="WBN41" s="19"/>
      <c r="WBO41" s="16"/>
      <c r="WBP41" s="18"/>
      <c r="WBQ41" s="13"/>
      <c r="WBR41" s="12"/>
      <c r="WBS41" s="18"/>
      <c r="WBT41" s="12"/>
      <c r="WBU41" s="19"/>
      <c r="WBV41" s="16"/>
      <c r="WBW41" s="18"/>
      <c r="WBX41" s="13"/>
      <c r="WBY41" s="12"/>
      <c r="WBZ41" s="18"/>
      <c r="WCA41" s="12"/>
      <c r="WCB41" s="19"/>
      <c r="WCC41" s="16"/>
      <c r="WCD41" s="18"/>
      <c r="WCE41" s="13"/>
      <c r="WCF41" s="12"/>
      <c r="WCG41" s="18"/>
      <c r="WCH41" s="12"/>
      <c r="WCI41" s="19"/>
      <c r="WCJ41" s="16"/>
      <c r="WCK41" s="18"/>
      <c r="WCL41" s="13"/>
      <c r="WCM41" s="12"/>
      <c r="WCN41" s="18"/>
      <c r="WCO41" s="12"/>
      <c r="WCP41" s="19"/>
      <c r="WCQ41" s="16"/>
      <c r="WCR41" s="18"/>
      <c r="WCS41" s="13"/>
      <c r="WCT41" s="12"/>
      <c r="WCU41" s="18"/>
      <c r="WCV41" s="12"/>
      <c r="WCW41" s="19"/>
      <c r="WCX41" s="16"/>
      <c r="WCY41" s="18"/>
      <c r="WCZ41" s="13"/>
      <c r="WDA41" s="12"/>
      <c r="WDB41" s="18"/>
      <c r="WDC41" s="12"/>
      <c r="WDD41" s="19"/>
      <c r="WDE41" s="16"/>
      <c r="WDF41" s="18"/>
      <c r="WDG41" s="13"/>
      <c r="WDH41" s="12"/>
      <c r="WDI41" s="18"/>
      <c r="WDJ41" s="12"/>
      <c r="WDK41" s="19"/>
      <c r="WDL41" s="16"/>
      <c r="WDM41" s="18"/>
      <c r="WDN41" s="13"/>
      <c r="WDO41" s="12"/>
      <c r="WDP41" s="18"/>
      <c r="WDQ41" s="12"/>
      <c r="WDR41" s="19"/>
      <c r="WDS41" s="16"/>
      <c r="WDT41" s="18"/>
      <c r="WDU41" s="13"/>
      <c r="WDV41" s="12"/>
      <c r="WDW41" s="18"/>
      <c r="WDX41" s="12"/>
      <c r="WDY41" s="19"/>
      <c r="WDZ41" s="16"/>
      <c r="WEA41" s="18"/>
      <c r="WEB41" s="13"/>
      <c r="WEC41" s="12"/>
      <c r="WED41" s="18"/>
      <c r="WEE41" s="12"/>
      <c r="WEF41" s="19"/>
      <c r="WEG41" s="16"/>
      <c r="WEH41" s="18"/>
      <c r="WEI41" s="13"/>
      <c r="WEJ41" s="12"/>
      <c r="WEK41" s="18"/>
      <c r="WEL41" s="12"/>
      <c r="WEM41" s="19"/>
      <c r="WEN41" s="16"/>
      <c r="WEO41" s="18"/>
      <c r="WEP41" s="13"/>
      <c r="WEQ41" s="12"/>
      <c r="WER41" s="18"/>
      <c r="WES41" s="12"/>
      <c r="WET41" s="19"/>
      <c r="WEU41" s="16"/>
      <c r="WEV41" s="18"/>
      <c r="WEW41" s="13"/>
      <c r="WEX41" s="12"/>
      <c r="WEY41" s="18"/>
      <c r="WEZ41" s="12"/>
      <c r="WFA41" s="19"/>
      <c r="WFB41" s="16"/>
      <c r="WFC41" s="18"/>
      <c r="WFD41" s="13"/>
      <c r="WFE41" s="12"/>
      <c r="WFF41" s="18"/>
      <c r="WFG41" s="12"/>
      <c r="WFH41" s="19"/>
      <c r="WFI41" s="16"/>
      <c r="WFJ41" s="18"/>
      <c r="WFK41" s="13"/>
      <c r="WFL41" s="12"/>
      <c r="WFM41" s="18"/>
      <c r="WFN41" s="12"/>
      <c r="WFO41" s="19"/>
      <c r="WFP41" s="16"/>
      <c r="WFQ41" s="18"/>
      <c r="WFR41" s="13"/>
      <c r="WFS41" s="12"/>
      <c r="WFT41" s="18"/>
      <c r="WFU41" s="12"/>
      <c r="WFV41" s="19"/>
      <c r="WFW41" s="16"/>
      <c r="WFX41" s="18"/>
      <c r="WFY41" s="13"/>
      <c r="WFZ41" s="12"/>
      <c r="WGA41" s="18"/>
      <c r="WGB41" s="12"/>
      <c r="WGC41" s="19"/>
      <c r="WGD41" s="16"/>
      <c r="WGE41" s="18"/>
      <c r="WGF41" s="13"/>
      <c r="WGG41" s="12"/>
      <c r="WGH41" s="18"/>
      <c r="WGI41" s="12"/>
      <c r="WGJ41" s="19"/>
      <c r="WGK41" s="16"/>
      <c r="WGL41" s="18"/>
      <c r="WGM41" s="13"/>
      <c r="WGN41" s="12"/>
      <c r="WGO41" s="18"/>
      <c r="WGP41" s="12"/>
      <c r="WGQ41" s="19"/>
      <c r="WGR41" s="16"/>
      <c r="WGS41" s="18"/>
      <c r="WGT41" s="13"/>
      <c r="WGU41" s="12"/>
      <c r="WGV41" s="18"/>
      <c r="WGW41" s="12"/>
      <c r="WGX41" s="19"/>
      <c r="WGY41" s="16"/>
      <c r="WGZ41" s="18"/>
      <c r="WHA41" s="13"/>
      <c r="WHB41" s="12"/>
      <c r="WHC41" s="18"/>
      <c r="WHD41" s="12"/>
      <c r="WHE41" s="19"/>
      <c r="WHF41" s="16"/>
      <c r="WHG41" s="18"/>
      <c r="WHH41" s="13"/>
      <c r="WHI41" s="12"/>
      <c r="WHJ41" s="18"/>
      <c r="WHK41" s="12"/>
      <c r="WHL41" s="19"/>
      <c r="WHM41" s="16"/>
      <c r="WHN41" s="18"/>
      <c r="WHO41" s="13"/>
      <c r="WHP41" s="12"/>
      <c r="WHQ41" s="18"/>
      <c r="WHR41" s="12"/>
      <c r="WHS41" s="19"/>
      <c r="WHT41" s="16"/>
      <c r="WHU41" s="18"/>
      <c r="WHV41" s="13"/>
      <c r="WHW41" s="12"/>
      <c r="WHX41" s="18"/>
      <c r="WHY41" s="12"/>
      <c r="WHZ41" s="19"/>
      <c r="WIA41" s="16"/>
      <c r="WIB41" s="18"/>
      <c r="WIC41" s="13"/>
      <c r="WID41" s="12"/>
      <c r="WIE41" s="18"/>
      <c r="WIF41" s="12"/>
      <c r="WIG41" s="19"/>
      <c r="WIH41" s="16"/>
      <c r="WII41" s="18"/>
      <c r="WIJ41" s="13"/>
      <c r="WIK41" s="12"/>
      <c r="WIL41" s="18"/>
      <c r="WIM41" s="12"/>
      <c r="WIN41" s="19"/>
      <c r="WIO41" s="16"/>
      <c r="WIP41" s="18"/>
      <c r="WIQ41" s="13"/>
      <c r="WIR41" s="12"/>
      <c r="WIS41" s="18"/>
      <c r="WIT41" s="12"/>
      <c r="WIU41" s="19"/>
      <c r="WIV41" s="16"/>
      <c r="WIW41" s="18"/>
      <c r="WIX41" s="13"/>
      <c r="WIY41" s="12"/>
      <c r="WIZ41" s="18"/>
      <c r="WJA41" s="12"/>
      <c r="WJB41" s="19"/>
      <c r="WJC41" s="16"/>
      <c r="WJD41" s="18"/>
      <c r="WJE41" s="13"/>
      <c r="WJF41" s="12"/>
      <c r="WJG41" s="18"/>
      <c r="WJH41" s="12"/>
      <c r="WJI41" s="19"/>
      <c r="WJJ41" s="16"/>
      <c r="WJK41" s="18"/>
      <c r="WJL41" s="13"/>
      <c r="WJM41" s="12"/>
      <c r="WJN41" s="18"/>
      <c r="WJO41" s="12"/>
      <c r="WJP41" s="19"/>
      <c r="WJQ41" s="16"/>
      <c r="WJR41" s="18"/>
      <c r="WJS41" s="13"/>
      <c r="WJT41" s="12"/>
      <c r="WJU41" s="18"/>
      <c r="WJV41" s="12"/>
      <c r="WJW41" s="19"/>
      <c r="WJX41" s="16"/>
      <c r="WJY41" s="18"/>
      <c r="WJZ41" s="13"/>
      <c r="WKA41" s="12"/>
      <c r="WKB41" s="18"/>
      <c r="WKC41" s="12"/>
      <c r="WKD41" s="19"/>
      <c r="WKE41" s="16"/>
      <c r="WKF41" s="18"/>
      <c r="WKG41" s="13"/>
      <c r="WKH41" s="12"/>
      <c r="WKI41" s="18"/>
      <c r="WKJ41" s="12"/>
      <c r="WKK41" s="19"/>
      <c r="WKL41" s="16"/>
      <c r="WKM41" s="18"/>
      <c r="WKN41" s="13"/>
      <c r="WKO41" s="12"/>
      <c r="WKP41" s="18"/>
      <c r="WKQ41" s="12"/>
      <c r="WKR41" s="19"/>
      <c r="WKS41" s="16"/>
      <c r="WKT41" s="18"/>
      <c r="WKU41" s="13"/>
      <c r="WKV41" s="12"/>
      <c r="WKW41" s="18"/>
      <c r="WKX41" s="12"/>
      <c r="WKY41" s="19"/>
      <c r="WKZ41" s="16"/>
      <c r="WLA41" s="18"/>
      <c r="WLB41" s="13"/>
      <c r="WLC41" s="12"/>
      <c r="WLD41" s="18"/>
      <c r="WLE41" s="12"/>
      <c r="WLF41" s="19"/>
      <c r="WLG41" s="16"/>
      <c r="WLH41" s="18"/>
      <c r="WLI41" s="13"/>
      <c r="WLJ41" s="12"/>
      <c r="WLK41" s="18"/>
      <c r="WLL41" s="12"/>
      <c r="WLM41" s="19"/>
      <c r="WLN41" s="16"/>
      <c r="WLO41" s="18"/>
      <c r="WLP41" s="13"/>
      <c r="WLQ41" s="12"/>
      <c r="WLR41" s="18"/>
      <c r="WLS41" s="12"/>
      <c r="WLT41" s="19"/>
      <c r="WLU41" s="16"/>
      <c r="WLV41" s="18"/>
      <c r="WLW41" s="13"/>
      <c r="WLX41" s="12"/>
      <c r="WLY41" s="18"/>
      <c r="WLZ41" s="12"/>
      <c r="WMA41" s="19"/>
      <c r="WMB41" s="16"/>
      <c r="WMC41" s="18"/>
      <c r="WMD41" s="13"/>
      <c r="WME41" s="12"/>
      <c r="WMF41" s="18"/>
      <c r="WMG41" s="12"/>
      <c r="WMH41" s="19"/>
      <c r="WMI41" s="16"/>
      <c r="WMJ41" s="18"/>
      <c r="WMK41" s="13"/>
      <c r="WML41" s="12"/>
      <c r="WMM41" s="18"/>
      <c r="WMN41" s="12"/>
      <c r="WMO41" s="19"/>
      <c r="WMP41" s="16"/>
      <c r="WMQ41" s="18"/>
      <c r="WMR41" s="13"/>
      <c r="WMS41" s="12"/>
      <c r="WMT41" s="18"/>
      <c r="WMU41" s="12"/>
      <c r="WMV41" s="19"/>
      <c r="WMW41" s="16"/>
      <c r="WMX41" s="18"/>
      <c r="WMY41" s="13"/>
      <c r="WMZ41" s="12"/>
      <c r="WNA41" s="18"/>
      <c r="WNB41" s="12"/>
      <c r="WNC41" s="19"/>
      <c r="WND41" s="16"/>
      <c r="WNE41" s="18"/>
      <c r="WNF41" s="13"/>
      <c r="WNG41" s="12"/>
      <c r="WNH41" s="18"/>
      <c r="WNI41" s="12"/>
      <c r="WNJ41" s="19"/>
      <c r="WNK41" s="16"/>
      <c r="WNL41" s="18"/>
      <c r="WNM41" s="13"/>
      <c r="WNN41" s="12"/>
      <c r="WNO41" s="18"/>
      <c r="WNP41" s="12"/>
      <c r="WNQ41" s="19"/>
      <c r="WNR41" s="16"/>
      <c r="WNS41" s="18"/>
      <c r="WNT41" s="13"/>
      <c r="WNU41" s="12"/>
      <c r="WNV41" s="18"/>
      <c r="WNW41" s="12"/>
      <c r="WNX41" s="19"/>
      <c r="WNY41" s="16"/>
      <c r="WNZ41" s="18"/>
      <c r="WOA41" s="13"/>
      <c r="WOB41" s="12"/>
      <c r="WOC41" s="18"/>
      <c r="WOD41" s="12"/>
      <c r="WOE41" s="19"/>
      <c r="WOF41" s="16"/>
      <c r="WOG41" s="18"/>
      <c r="WOH41" s="13"/>
      <c r="WOI41" s="12"/>
      <c r="WOJ41" s="18"/>
      <c r="WOK41" s="12"/>
      <c r="WOL41" s="19"/>
      <c r="WOM41" s="16"/>
      <c r="WON41" s="18"/>
      <c r="WOO41" s="13"/>
      <c r="WOP41" s="12"/>
      <c r="WOQ41" s="18"/>
      <c r="WOR41" s="12"/>
      <c r="WOS41" s="19"/>
      <c r="WOT41" s="16"/>
      <c r="WOU41" s="18"/>
      <c r="WOV41" s="13"/>
      <c r="WOW41" s="12"/>
      <c r="WOX41" s="18"/>
      <c r="WOY41" s="12"/>
      <c r="WOZ41" s="19"/>
      <c r="WPA41" s="16"/>
      <c r="WPB41" s="18"/>
      <c r="WPC41" s="13"/>
      <c r="WPD41" s="12"/>
      <c r="WPE41" s="18"/>
      <c r="WPF41" s="12"/>
      <c r="WPG41" s="19"/>
      <c r="WPH41" s="16"/>
      <c r="WPI41" s="18"/>
      <c r="WPJ41" s="13"/>
      <c r="WPK41" s="12"/>
      <c r="WPL41" s="18"/>
      <c r="WPM41" s="12"/>
      <c r="WPN41" s="19"/>
      <c r="WPO41" s="16"/>
      <c r="WPP41" s="18"/>
      <c r="WPQ41" s="13"/>
      <c r="WPR41" s="12"/>
      <c r="WPS41" s="18"/>
      <c r="WPT41" s="12"/>
      <c r="WPU41" s="19"/>
      <c r="WPV41" s="16"/>
      <c r="WPW41" s="18"/>
      <c r="WPX41" s="13"/>
      <c r="WPY41" s="12"/>
      <c r="WPZ41" s="18"/>
      <c r="WQA41" s="12"/>
      <c r="WQB41" s="19"/>
      <c r="WQC41" s="16"/>
      <c r="WQD41" s="18"/>
      <c r="WQE41" s="13"/>
      <c r="WQF41" s="12"/>
      <c r="WQG41" s="18"/>
      <c r="WQH41" s="12"/>
      <c r="WQI41" s="19"/>
      <c r="WQJ41" s="16"/>
      <c r="WQK41" s="18"/>
      <c r="WQL41" s="13"/>
      <c r="WQM41" s="12"/>
      <c r="WQN41" s="18"/>
      <c r="WQO41" s="12"/>
      <c r="WQP41" s="19"/>
      <c r="WQQ41" s="16"/>
      <c r="WQR41" s="18"/>
      <c r="WQS41" s="13"/>
      <c r="WQT41" s="12"/>
      <c r="WQU41" s="18"/>
      <c r="WQV41" s="12"/>
      <c r="WQW41" s="19"/>
      <c r="WQX41" s="16"/>
      <c r="WQY41" s="18"/>
      <c r="WQZ41" s="13"/>
      <c r="WRA41" s="12"/>
      <c r="WRB41" s="18"/>
      <c r="WRC41" s="12"/>
      <c r="WRD41" s="19"/>
      <c r="WRE41" s="16"/>
      <c r="WRF41" s="18"/>
      <c r="WRG41" s="13"/>
      <c r="WRH41" s="12"/>
      <c r="WRI41" s="18"/>
      <c r="WRJ41" s="12"/>
      <c r="WRK41" s="19"/>
      <c r="WRL41" s="16"/>
      <c r="WRM41" s="18"/>
      <c r="WRN41" s="13"/>
      <c r="WRO41" s="12"/>
      <c r="WRP41" s="18"/>
      <c r="WRQ41" s="12"/>
      <c r="WRR41" s="19"/>
      <c r="WRS41" s="16"/>
      <c r="WRT41" s="18"/>
      <c r="WRU41" s="13"/>
      <c r="WRV41" s="12"/>
      <c r="WRW41" s="18"/>
      <c r="WRX41" s="12"/>
      <c r="WRY41" s="19"/>
      <c r="WRZ41" s="16"/>
      <c r="WSA41" s="18"/>
      <c r="WSB41" s="13"/>
      <c r="WSC41" s="12"/>
      <c r="WSD41" s="18"/>
      <c r="WSE41" s="12"/>
      <c r="WSF41" s="19"/>
      <c r="WSG41" s="16"/>
      <c r="WSH41" s="18"/>
      <c r="WSI41" s="13"/>
      <c r="WSJ41" s="12"/>
      <c r="WSK41" s="18"/>
      <c r="WSL41" s="12"/>
      <c r="WSM41" s="19"/>
      <c r="WSN41" s="16"/>
      <c r="WSO41" s="18"/>
      <c r="WSP41" s="13"/>
      <c r="WSQ41" s="12"/>
      <c r="WSR41" s="18"/>
      <c r="WSS41" s="12"/>
      <c r="WST41" s="19"/>
      <c r="WSU41" s="16"/>
      <c r="WSV41" s="18"/>
      <c r="WSW41" s="13"/>
      <c r="WSX41" s="12"/>
      <c r="WSY41" s="18"/>
      <c r="WSZ41" s="12"/>
      <c r="WTA41" s="19"/>
      <c r="WTB41" s="16"/>
      <c r="WTC41" s="18"/>
      <c r="WTD41" s="13"/>
      <c r="WTE41" s="12"/>
      <c r="WTF41" s="18"/>
      <c r="WTG41" s="12"/>
      <c r="WTH41" s="19"/>
      <c r="WTI41" s="16"/>
      <c r="WTJ41" s="18"/>
      <c r="WTK41" s="13"/>
      <c r="WTL41" s="12"/>
      <c r="WTM41" s="18"/>
      <c r="WTN41" s="12"/>
      <c r="WTO41" s="19"/>
      <c r="WTP41" s="16"/>
      <c r="WTQ41" s="18"/>
      <c r="WTR41" s="13"/>
      <c r="WTS41" s="12"/>
      <c r="WTT41" s="18"/>
      <c r="WTU41" s="12"/>
      <c r="WTV41" s="19"/>
      <c r="WTW41" s="16"/>
      <c r="WTX41" s="18"/>
      <c r="WTY41" s="13"/>
      <c r="WTZ41" s="12"/>
      <c r="WUA41" s="18"/>
      <c r="WUB41" s="12"/>
      <c r="WUC41" s="19"/>
      <c r="WUD41" s="16"/>
      <c r="WUE41" s="18"/>
      <c r="WUF41" s="13"/>
      <c r="WUG41" s="12"/>
      <c r="WUH41" s="18"/>
      <c r="WUI41" s="12"/>
      <c r="WUJ41" s="19"/>
      <c r="WUK41" s="16"/>
      <c r="WUL41" s="18"/>
      <c r="WUM41" s="13"/>
      <c r="WUN41" s="12"/>
      <c r="WUO41" s="18"/>
      <c r="WUP41" s="12"/>
      <c r="WUQ41" s="19"/>
      <c r="WUR41" s="16"/>
      <c r="WUS41" s="18"/>
      <c r="WUT41" s="13"/>
      <c r="WUU41" s="12"/>
      <c r="WUV41" s="18"/>
      <c r="WUW41" s="12"/>
      <c r="WUX41" s="19"/>
      <c r="WUY41" s="16"/>
      <c r="WUZ41" s="18"/>
      <c r="WVA41" s="13"/>
      <c r="WVB41" s="12"/>
      <c r="WVC41" s="18"/>
      <c r="WVD41" s="12"/>
      <c r="WVE41" s="19"/>
      <c r="WVF41" s="16"/>
      <c r="WVG41" s="18"/>
      <c r="WVH41" s="13"/>
      <c r="WVI41" s="12"/>
      <c r="WVJ41" s="18"/>
      <c r="WVK41" s="12"/>
      <c r="WVL41" s="19"/>
      <c r="WVM41" s="16"/>
      <c r="WVN41" s="18"/>
      <c r="WVO41" s="13"/>
      <c r="WVP41" s="12"/>
      <c r="WVQ41" s="18"/>
      <c r="WVR41" s="12"/>
      <c r="WVS41" s="19"/>
      <c r="WVT41" s="16"/>
      <c r="WVU41" s="18"/>
      <c r="WVV41" s="13"/>
      <c r="WVW41" s="12"/>
      <c r="WVX41" s="18"/>
      <c r="WVY41" s="12"/>
      <c r="WVZ41" s="19"/>
      <c r="WWA41" s="16"/>
      <c r="WWB41" s="18"/>
      <c r="WWC41" s="13"/>
      <c r="WWD41" s="12"/>
      <c r="WWE41" s="18"/>
      <c r="WWF41" s="12"/>
      <c r="WWG41" s="19"/>
      <c r="WWH41" s="16"/>
      <c r="WWI41" s="18"/>
      <c r="WWJ41" s="13"/>
      <c r="WWK41" s="12"/>
      <c r="WWL41" s="18"/>
      <c r="WWM41" s="12"/>
      <c r="WWN41" s="19"/>
      <c r="WWO41" s="16"/>
      <c r="WWP41" s="18"/>
      <c r="WWQ41" s="13"/>
      <c r="WWR41" s="12"/>
      <c r="WWS41" s="18"/>
      <c r="WWT41" s="12"/>
      <c r="WWU41" s="19"/>
      <c r="WWV41" s="16"/>
      <c r="WWW41" s="18"/>
      <c r="WWX41" s="13"/>
      <c r="WWY41" s="12"/>
      <c r="WWZ41" s="18"/>
      <c r="WXA41" s="12"/>
      <c r="WXB41" s="19"/>
      <c r="WXC41" s="16"/>
      <c r="WXD41" s="18"/>
      <c r="WXE41" s="13"/>
      <c r="WXF41" s="12"/>
      <c r="WXG41" s="18"/>
      <c r="WXH41" s="12"/>
      <c r="WXI41" s="19"/>
      <c r="WXJ41" s="16"/>
      <c r="WXK41" s="18"/>
      <c r="WXL41" s="13"/>
      <c r="WXM41" s="12"/>
      <c r="WXN41" s="18"/>
      <c r="WXO41" s="12"/>
      <c r="WXP41" s="19"/>
      <c r="WXQ41" s="16"/>
      <c r="WXR41" s="18"/>
      <c r="WXS41" s="13"/>
      <c r="WXT41" s="12"/>
      <c r="WXU41" s="18"/>
      <c r="WXV41" s="12"/>
      <c r="WXW41" s="19"/>
      <c r="WXX41" s="16"/>
      <c r="WXY41" s="18"/>
      <c r="WXZ41" s="13"/>
      <c r="WYA41" s="12"/>
      <c r="WYB41" s="18"/>
      <c r="WYC41" s="12"/>
      <c r="WYD41" s="19"/>
      <c r="WYE41" s="16"/>
      <c r="WYF41" s="18"/>
      <c r="WYG41" s="13"/>
      <c r="WYH41" s="12"/>
      <c r="WYI41" s="18"/>
      <c r="WYJ41" s="12"/>
      <c r="WYK41" s="19"/>
      <c r="WYL41" s="16"/>
      <c r="WYM41" s="18"/>
      <c r="WYN41" s="13"/>
      <c r="WYO41" s="12"/>
      <c r="WYP41" s="18"/>
      <c r="WYQ41" s="12"/>
      <c r="WYR41" s="19"/>
      <c r="WYS41" s="16"/>
      <c r="WYT41" s="18"/>
      <c r="WYU41" s="13"/>
      <c r="WYV41" s="12"/>
      <c r="WYW41" s="18"/>
      <c r="WYX41" s="12"/>
      <c r="WYY41" s="19"/>
      <c r="WYZ41" s="16"/>
      <c r="WZA41" s="18"/>
      <c r="WZB41" s="13"/>
      <c r="WZC41" s="12"/>
      <c r="WZD41" s="18"/>
      <c r="WZE41" s="12"/>
      <c r="WZF41" s="19"/>
      <c r="WZG41" s="16"/>
      <c r="WZH41" s="18"/>
      <c r="WZI41" s="13"/>
      <c r="WZJ41" s="12"/>
      <c r="WZK41" s="18"/>
      <c r="WZL41" s="12"/>
      <c r="WZM41" s="19"/>
      <c r="WZN41" s="16"/>
      <c r="WZO41" s="18"/>
      <c r="WZP41" s="13"/>
      <c r="WZQ41" s="12"/>
      <c r="WZR41" s="18"/>
      <c r="WZS41" s="12"/>
      <c r="WZT41" s="19"/>
      <c r="WZU41" s="16"/>
      <c r="WZV41" s="18"/>
      <c r="WZW41" s="13"/>
      <c r="WZX41" s="12"/>
      <c r="WZY41" s="18"/>
      <c r="WZZ41" s="12"/>
      <c r="XAA41" s="19"/>
      <c r="XAB41" s="16"/>
      <c r="XAC41" s="18"/>
      <c r="XAD41" s="13"/>
      <c r="XAE41" s="12"/>
      <c r="XAF41" s="18"/>
      <c r="XAG41" s="12"/>
      <c r="XAH41" s="19"/>
      <c r="XAI41" s="16"/>
      <c r="XAJ41" s="18"/>
      <c r="XAK41" s="13"/>
      <c r="XAL41" s="12"/>
      <c r="XAM41" s="18"/>
      <c r="XAN41" s="12"/>
      <c r="XAO41" s="19"/>
      <c r="XAP41" s="16"/>
      <c r="XAQ41" s="18"/>
      <c r="XAR41" s="13"/>
      <c r="XAS41" s="12"/>
      <c r="XAT41" s="18"/>
      <c r="XAU41" s="12"/>
      <c r="XAV41" s="19"/>
      <c r="XAW41" s="16"/>
      <c r="XAX41" s="18"/>
      <c r="XAY41" s="13"/>
      <c r="XAZ41" s="12"/>
      <c r="XBA41" s="18"/>
      <c r="XBB41" s="12"/>
      <c r="XBC41" s="19"/>
      <c r="XBD41" s="16"/>
      <c r="XBE41" s="18"/>
      <c r="XBF41" s="13"/>
      <c r="XBG41" s="12"/>
      <c r="XBH41" s="18"/>
      <c r="XBI41" s="12"/>
      <c r="XBJ41" s="19"/>
      <c r="XBK41" s="16"/>
      <c r="XBL41" s="18"/>
      <c r="XBM41" s="13"/>
      <c r="XBN41" s="12"/>
      <c r="XBO41" s="18"/>
      <c r="XBP41" s="12"/>
      <c r="XBQ41" s="19"/>
      <c r="XBR41" s="16"/>
      <c r="XBS41" s="18"/>
      <c r="XBT41" s="13"/>
      <c r="XBU41" s="12"/>
      <c r="XBV41" s="18"/>
      <c r="XBW41" s="12"/>
      <c r="XBX41" s="19"/>
      <c r="XBY41" s="16"/>
      <c r="XBZ41" s="18"/>
      <c r="XCA41" s="13"/>
      <c r="XCB41" s="12"/>
      <c r="XCC41" s="18"/>
      <c r="XCD41" s="12"/>
      <c r="XCE41" s="19"/>
      <c r="XCF41" s="16"/>
      <c r="XCG41" s="18"/>
      <c r="XCH41" s="13"/>
      <c r="XCI41" s="12"/>
      <c r="XCJ41" s="18"/>
      <c r="XCK41" s="12"/>
      <c r="XCL41" s="19"/>
      <c r="XCM41" s="16"/>
      <c r="XCN41" s="18"/>
      <c r="XCO41" s="13"/>
      <c r="XCP41" s="12"/>
      <c r="XCQ41" s="18"/>
      <c r="XCR41" s="12"/>
      <c r="XCS41" s="19"/>
      <c r="XCT41" s="16"/>
      <c r="XCU41" s="18"/>
      <c r="XCV41" s="13"/>
      <c r="XCW41" s="12"/>
      <c r="XCX41" s="18"/>
      <c r="XCY41" s="12"/>
      <c r="XCZ41" s="19"/>
      <c r="XDA41" s="16"/>
      <c r="XDB41" s="18"/>
      <c r="XDC41" s="13"/>
      <c r="XDD41" s="12"/>
      <c r="XDE41" s="18"/>
      <c r="XDF41" s="12"/>
      <c r="XDG41" s="19"/>
      <c r="XDH41" s="16"/>
      <c r="XDI41" s="18"/>
      <c r="XDJ41" s="13"/>
      <c r="XDK41" s="12"/>
      <c r="XDL41" s="18"/>
      <c r="XDM41" s="12"/>
      <c r="XDN41" s="19"/>
      <c r="XDO41" s="16"/>
      <c r="XDP41" s="18"/>
      <c r="XDQ41" s="13"/>
      <c r="XDR41" s="12"/>
      <c r="XDS41" s="18"/>
      <c r="XDT41" s="12"/>
      <c r="XDU41" s="19"/>
      <c r="XDV41" s="16"/>
      <c r="XDW41" s="18"/>
      <c r="XDX41" s="13"/>
      <c r="XDY41" s="12"/>
      <c r="XDZ41" s="18"/>
      <c r="XEA41" s="12"/>
      <c r="XEB41" s="19"/>
      <c r="XEC41" s="16"/>
      <c r="XED41" s="18"/>
      <c r="XEE41" s="13"/>
      <c r="XEF41" s="12"/>
      <c r="XEG41" s="18"/>
      <c r="XEH41" s="12"/>
      <c r="XEI41" s="19"/>
      <c r="XEJ41" s="16"/>
      <c r="XEK41" s="18"/>
      <c r="XEL41" s="13"/>
      <c r="XEM41" s="12"/>
      <c r="XEN41" s="18"/>
      <c r="XEO41" s="12"/>
      <c r="XEP41" s="19"/>
      <c r="XEQ41" s="16"/>
      <c r="XER41" s="18"/>
      <c r="XES41" s="13"/>
      <c r="XET41" s="12"/>
      <c r="XEU41" s="18"/>
      <c r="XEV41" s="12"/>
      <c r="XEW41" s="19"/>
      <c r="XEX41" s="16"/>
      <c r="XEY41" s="18"/>
      <c r="XEZ41" s="13"/>
      <c r="XFA41" s="12"/>
      <c r="XFB41" s="18"/>
      <c r="XFC41" s="12"/>
      <c r="XFD41" s="19"/>
    </row>
    <row r="42" spans="1:16384" ht="25.5" x14ac:dyDescent="0.2">
      <c r="A42" s="1">
        <v>7</v>
      </c>
      <c r="B42" s="12"/>
      <c r="C42" s="13"/>
      <c r="D42" s="12" t="s">
        <v>777</v>
      </c>
      <c r="E42" s="18">
        <v>458</v>
      </c>
      <c r="F42" s="12" t="s">
        <v>1080</v>
      </c>
      <c r="G42" s="19"/>
      <c r="H42" s="16" t="s">
        <v>498</v>
      </c>
      <c r="I42" s="18">
        <v>116</v>
      </c>
      <c r="J42" s="13" t="s">
        <v>286</v>
      </c>
      <c r="K42" s="18"/>
      <c r="L42" s="12"/>
      <c r="M42" s="14"/>
      <c r="N42" s="14"/>
      <c r="O42" s="21"/>
      <c r="P42" s="21"/>
      <c r="Q42" s="1"/>
      <c r="R42" s="1"/>
      <c r="S42" s="1"/>
      <c r="T42" s="1"/>
      <c r="U42" s="1"/>
      <c r="V42" s="1"/>
      <c r="W42" s="1"/>
    </row>
    <row r="43" spans="1:16384" ht="25.5" x14ac:dyDescent="0.2">
      <c r="A43" s="1">
        <v>7</v>
      </c>
      <c r="B43" s="12"/>
      <c r="C43" s="13"/>
      <c r="D43" s="12" t="s">
        <v>585</v>
      </c>
      <c r="E43" s="18">
        <v>460</v>
      </c>
      <c r="F43" s="12" t="s">
        <v>1080</v>
      </c>
      <c r="G43" s="19"/>
      <c r="H43" s="16" t="s">
        <v>555</v>
      </c>
      <c r="I43" s="18">
        <v>6000</v>
      </c>
      <c r="J43" s="13" t="s">
        <v>843</v>
      </c>
      <c r="K43" s="18"/>
      <c r="L43" s="12"/>
      <c r="M43" s="14"/>
      <c r="N43" s="14"/>
      <c r="O43" s="21"/>
      <c r="P43" s="21"/>
      <c r="Q43" s="1"/>
      <c r="R43" s="1"/>
      <c r="S43" s="1"/>
      <c r="T43" s="1"/>
      <c r="U43" s="1"/>
      <c r="V43" s="1"/>
      <c r="W43" s="1"/>
    </row>
    <row r="44" spans="1:16384" ht="25.5" x14ac:dyDescent="0.2">
      <c r="A44" s="1">
        <v>7</v>
      </c>
      <c r="B44" s="12"/>
      <c r="C44" s="13"/>
      <c r="D44" s="12" t="s">
        <v>202</v>
      </c>
      <c r="E44" s="18">
        <v>451</v>
      </c>
      <c r="F44" s="12" t="s">
        <v>1080</v>
      </c>
      <c r="G44" s="19"/>
      <c r="H44" s="16" t="s">
        <v>398</v>
      </c>
      <c r="I44" s="18">
        <v>250</v>
      </c>
      <c r="J44" s="13" t="s">
        <v>328</v>
      </c>
      <c r="K44" s="18"/>
      <c r="L44" s="12"/>
      <c r="M44" s="14"/>
      <c r="N44" s="14"/>
      <c r="O44" s="21"/>
      <c r="P44" s="21"/>
      <c r="Q44" s="1"/>
      <c r="R44" s="1"/>
      <c r="S44" s="1"/>
      <c r="T44" s="1"/>
      <c r="U44" s="1"/>
      <c r="V44" s="1"/>
      <c r="W44" s="1"/>
    </row>
    <row r="45" spans="1:16384" ht="25.5" x14ac:dyDescent="0.2">
      <c r="A45" s="1">
        <v>7</v>
      </c>
      <c r="B45" s="12"/>
      <c r="C45" s="13"/>
      <c r="D45" s="12" t="s">
        <v>603</v>
      </c>
      <c r="E45" s="18">
        <v>459</v>
      </c>
      <c r="F45" s="12" t="s">
        <v>319</v>
      </c>
      <c r="G45" s="19"/>
      <c r="H45" s="16" t="s">
        <v>625</v>
      </c>
      <c r="I45" s="18">
        <v>3</v>
      </c>
      <c r="J45" s="13" t="s">
        <v>129</v>
      </c>
      <c r="K45" s="18"/>
      <c r="L45" s="12"/>
      <c r="M45" s="14"/>
      <c r="N45" s="14"/>
      <c r="O45" s="21"/>
      <c r="P45" s="21"/>
      <c r="Q45" s="1"/>
      <c r="R45" s="1"/>
      <c r="S45" s="1"/>
      <c r="T45" s="1"/>
      <c r="U45" s="1"/>
      <c r="V45" s="1"/>
      <c r="W45" s="1"/>
    </row>
    <row r="46" spans="1:16384" ht="25.5" x14ac:dyDescent="0.2">
      <c r="A46" s="1">
        <v>7</v>
      </c>
      <c r="B46" s="12"/>
      <c r="C46" s="13"/>
      <c r="D46" s="12" t="s">
        <v>603</v>
      </c>
      <c r="E46" s="18">
        <v>455</v>
      </c>
      <c r="F46" s="12" t="s">
        <v>1080</v>
      </c>
      <c r="G46" s="19"/>
      <c r="H46" s="16" t="s">
        <v>982</v>
      </c>
      <c r="I46" s="18">
        <v>100000</v>
      </c>
      <c r="J46" s="13" t="s">
        <v>843</v>
      </c>
      <c r="K46" s="18"/>
      <c r="L46" s="12"/>
      <c r="M46" s="14"/>
      <c r="N46" s="14"/>
      <c r="O46" s="21"/>
      <c r="P46" s="21"/>
      <c r="Q46" s="1"/>
      <c r="R46" s="1"/>
      <c r="S46" s="1"/>
      <c r="T46" s="1"/>
      <c r="U46" s="1"/>
      <c r="V46" s="1"/>
      <c r="W46" s="1"/>
    </row>
    <row r="47" spans="1:16384" ht="25.5" x14ac:dyDescent="0.2">
      <c r="A47" s="1">
        <v>7</v>
      </c>
      <c r="B47" s="12"/>
      <c r="C47" s="13"/>
      <c r="D47" s="12" t="s">
        <v>603</v>
      </c>
      <c r="E47" s="18">
        <v>452</v>
      </c>
      <c r="F47" s="12" t="s">
        <v>1080</v>
      </c>
      <c r="G47" s="19"/>
      <c r="H47" s="16" t="s">
        <v>926</v>
      </c>
      <c r="I47" s="18">
        <v>3000</v>
      </c>
      <c r="J47" s="13" t="s">
        <v>328</v>
      </c>
      <c r="K47" s="18"/>
      <c r="L47" s="12"/>
      <c r="M47" s="14"/>
      <c r="N47" s="14"/>
      <c r="O47" s="21"/>
      <c r="P47" s="21"/>
      <c r="Q47" s="1"/>
      <c r="R47" s="1"/>
      <c r="S47" s="1"/>
      <c r="T47" s="1"/>
      <c r="U47" s="1"/>
      <c r="V47" s="1"/>
      <c r="W47" s="1"/>
    </row>
    <row r="48" spans="1:16384" ht="25.5" x14ac:dyDescent="0.2">
      <c r="A48" s="1">
        <v>7</v>
      </c>
      <c r="B48" s="12"/>
      <c r="C48" s="13"/>
      <c r="D48" s="12" t="s">
        <v>22</v>
      </c>
      <c r="E48" s="18">
        <v>453</v>
      </c>
      <c r="F48" s="12" t="s">
        <v>1080</v>
      </c>
      <c r="G48" s="19"/>
      <c r="H48" s="16" t="s">
        <v>302</v>
      </c>
      <c r="I48" s="18">
        <v>3000</v>
      </c>
      <c r="J48" s="13" t="s">
        <v>328</v>
      </c>
      <c r="K48" s="18"/>
      <c r="L48" s="12"/>
      <c r="M48" s="14"/>
      <c r="N48" s="14"/>
      <c r="O48" s="21"/>
      <c r="P48" s="21"/>
      <c r="Q48" s="1"/>
      <c r="R48" s="1"/>
      <c r="S48" s="1"/>
      <c r="T48" s="1"/>
      <c r="U48" s="1"/>
      <c r="V48" s="1"/>
      <c r="W48" s="1"/>
    </row>
    <row r="49" spans="1:23" ht="25.5" x14ac:dyDescent="0.2">
      <c r="A49" s="1"/>
      <c r="B49" s="12"/>
      <c r="C49" s="13"/>
      <c r="D49" s="12"/>
      <c r="E49" s="18">
        <v>454</v>
      </c>
      <c r="F49" s="12" t="s">
        <v>1116</v>
      </c>
      <c r="G49" s="19"/>
      <c r="H49" s="16" t="s">
        <v>1155</v>
      </c>
      <c r="I49" s="18">
        <v>130000</v>
      </c>
      <c r="J49" s="13" t="s">
        <v>843</v>
      </c>
      <c r="K49" s="18"/>
      <c r="L49" s="12"/>
      <c r="M49" s="14"/>
      <c r="N49" s="14"/>
      <c r="O49" s="21"/>
      <c r="P49" s="21"/>
      <c r="Q49" s="1"/>
      <c r="R49" s="1"/>
      <c r="S49" s="1"/>
      <c r="T49" s="1"/>
      <c r="U49" s="1"/>
      <c r="V49" s="1"/>
      <c r="W49" s="1"/>
    </row>
    <row r="50" spans="1:23" ht="51" x14ac:dyDescent="0.2">
      <c r="A50" s="1">
        <v>8</v>
      </c>
      <c r="B50" s="12"/>
      <c r="C50" s="13" t="s">
        <v>10</v>
      </c>
      <c r="D50" s="12"/>
      <c r="E50" s="12"/>
      <c r="F50" s="12"/>
      <c r="G50" s="19">
        <v>296059</v>
      </c>
      <c r="H50" s="16" t="s">
        <v>848</v>
      </c>
      <c r="I50" s="12"/>
      <c r="J50" s="13"/>
      <c r="K50" s="12"/>
      <c r="L50" s="12"/>
      <c r="M50" s="21">
        <v>4000000000</v>
      </c>
      <c r="N50" s="21">
        <f>+N51</f>
        <v>0</v>
      </c>
      <c r="O50" s="21">
        <f t="shared" ref="O50:Q50" si="4">+O51</f>
        <v>0</v>
      </c>
      <c r="P50" s="21">
        <f t="shared" si="4"/>
        <v>0</v>
      </c>
      <c r="Q50" s="21">
        <f t="shared" si="4"/>
        <v>0</v>
      </c>
      <c r="R50" s="1"/>
      <c r="S50" s="1"/>
      <c r="T50" s="1"/>
      <c r="U50" s="1"/>
      <c r="V50" s="1"/>
      <c r="W50" s="1"/>
    </row>
    <row r="51" spans="1:23" x14ac:dyDescent="0.2">
      <c r="A51" s="1">
        <v>9</v>
      </c>
      <c r="B51" s="12"/>
      <c r="C51" s="13"/>
      <c r="D51" s="12"/>
      <c r="E51" s="12"/>
      <c r="F51" s="12"/>
      <c r="G51" s="19"/>
      <c r="H51" s="44" t="s">
        <v>835</v>
      </c>
      <c r="I51" s="12"/>
      <c r="J51" s="13"/>
      <c r="K51" s="12"/>
      <c r="L51" s="12"/>
      <c r="M51" s="21">
        <v>4000000000</v>
      </c>
      <c r="N51" s="21">
        <v>0</v>
      </c>
      <c r="O51" s="21"/>
      <c r="P51" s="21"/>
      <c r="Q51" s="1"/>
      <c r="R51" s="1">
        <f t="shared" si="1"/>
        <v>0</v>
      </c>
      <c r="S51" s="1"/>
      <c r="T51" s="1"/>
      <c r="U51" s="1"/>
      <c r="V51" s="1"/>
      <c r="W51" s="1"/>
    </row>
    <row r="52" spans="1:23" ht="38.25" x14ac:dyDescent="0.2">
      <c r="A52" s="1">
        <v>8</v>
      </c>
      <c r="B52" s="12"/>
      <c r="C52" s="13" t="s">
        <v>10</v>
      </c>
      <c r="D52" s="12"/>
      <c r="E52" s="12"/>
      <c r="F52" s="12"/>
      <c r="G52" s="19">
        <v>296060</v>
      </c>
      <c r="H52" s="16" t="s">
        <v>451</v>
      </c>
      <c r="I52" s="12"/>
      <c r="J52" s="13"/>
      <c r="K52" s="12"/>
      <c r="L52" s="12"/>
      <c r="M52" s="21">
        <v>4500000000</v>
      </c>
      <c r="N52" s="21">
        <f>+N53</f>
        <v>0</v>
      </c>
      <c r="O52" s="21">
        <f t="shared" ref="O52:Q52" si="5">+O53</f>
        <v>0</v>
      </c>
      <c r="P52" s="21">
        <f t="shared" si="5"/>
        <v>0</v>
      </c>
      <c r="Q52" s="21">
        <f t="shared" si="5"/>
        <v>0</v>
      </c>
      <c r="R52" s="1"/>
      <c r="S52" s="1"/>
      <c r="T52" s="1"/>
      <c r="U52" s="1"/>
      <c r="V52" s="1"/>
      <c r="W52" s="1"/>
    </row>
    <row r="53" spans="1:23" x14ac:dyDescent="0.2">
      <c r="A53" s="1">
        <v>9</v>
      </c>
      <c r="B53" s="12"/>
      <c r="C53" s="13"/>
      <c r="D53" s="12"/>
      <c r="E53" s="12"/>
      <c r="F53" s="12"/>
      <c r="G53" s="19"/>
      <c r="H53" s="44" t="s">
        <v>835</v>
      </c>
      <c r="I53" s="12"/>
      <c r="J53" s="13"/>
      <c r="K53" s="12"/>
      <c r="L53" s="12"/>
      <c r="M53" s="21">
        <v>4500000000</v>
      </c>
      <c r="N53" s="21">
        <v>0</v>
      </c>
      <c r="O53" s="21"/>
      <c r="P53" s="21"/>
      <c r="Q53" s="1"/>
      <c r="R53" s="1">
        <f t="shared" si="1"/>
        <v>0</v>
      </c>
      <c r="S53" s="1"/>
      <c r="T53" s="1"/>
      <c r="U53" s="1"/>
      <c r="V53" s="1"/>
      <c r="W53" s="1"/>
    </row>
    <row r="54" spans="1:23" ht="51" x14ac:dyDescent="0.2">
      <c r="A54" s="1">
        <v>8</v>
      </c>
      <c r="B54" s="12"/>
      <c r="C54" s="75" t="s">
        <v>1309</v>
      </c>
      <c r="D54" s="12"/>
      <c r="E54" s="12"/>
      <c r="F54" s="12"/>
      <c r="G54" s="19">
        <v>296057</v>
      </c>
      <c r="H54" s="16" t="s">
        <v>1310</v>
      </c>
      <c r="I54" s="12"/>
      <c r="J54" s="13"/>
      <c r="K54" s="12"/>
      <c r="L54" s="12"/>
      <c r="M54" s="21">
        <v>103529919668</v>
      </c>
      <c r="N54" s="21">
        <f>SUM(N55:N59)</f>
        <v>40165071443</v>
      </c>
      <c r="O54" s="21">
        <f t="shared" ref="O54:Q54" si="6">SUM(O55:O59)</f>
        <v>0</v>
      </c>
      <c r="P54" s="21">
        <f t="shared" si="6"/>
        <v>0</v>
      </c>
      <c r="Q54" s="21">
        <f t="shared" si="6"/>
        <v>0</v>
      </c>
      <c r="R54" s="1"/>
      <c r="S54" s="1"/>
      <c r="T54" s="1"/>
      <c r="U54" s="1"/>
      <c r="V54" s="1"/>
      <c r="W54" s="1"/>
    </row>
    <row r="55" spans="1:23" x14ac:dyDescent="0.2">
      <c r="A55" s="1">
        <v>9</v>
      </c>
      <c r="B55" s="12"/>
      <c r="C55" s="13"/>
      <c r="D55" s="12"/>
      <c r="E55" s="12"/>
      <c r="F55" s="12"/>
      <c r="G55" s="19"/>
      <c r="H55" s="44" t="s">
        <v>88</v>
      </c>
      <c r="I55" s="12"/>
      <c r="J55" s="13"/>
      <c r="K55" s="12"/>
      <c r="L55" s="12"/>
      <c r="M55" s="21">
        <v>84000000</v>
      </c>
      <c r="N55" s="21">
        <v>0</v>
      </c>
      <c r="O55" s="21"/>
      <c r="P55" s="21"/>
      <c r="Q55" s="1"/>
      <c r="R55" s="1">
        <f t="shared" si="1"/>
        <v>0</v>
      </c>
      <c r="S55" s="1"/>
      <c r="T55" s="1"/>
      <c r="U55" s="1"/>
      <c r="V55" s="1"/>
      <c r="W55" s="1"/>
    </row>
    <row r="56" spans="1:23" x14ac:dyDescent="0.2">
      <c r="A56" s="1">
        <v>9</v>
      </c>
      <c r="B56" s="12"/>
      <c r="C56" s="13"/>
      <c r="D56" s="12"/>
      <c r="E56" s="12"/>
      <c r="F56" s="12"/>
      <c r="G56" s="19"/>
      <c r="H56" s="44" t="s">
        <v>962</v>
      </c>
      <c r="I56" s="12"/>
      <c r="J56" s="13"/>
      <c r="K56" s="12"/>
      <c r="L56" s="12"/>
      <c r="M56" s="21">
        <v>7678919668</v>
      </c>
      <c r="N56" s="21">
        <v>0</v>
      </c>
      <c r="O56" s="21"/>
      <c r="P56" s="21"/>
      <c r="Q56" s="1"/>
      <c r="R56" s="1">
        <f t="shared" si="1"/>
        <v>0</v>
      </c>
      <c r="S56" s="1"/>
      <c r="T56" s="1"/>
      <c r="U56" s="1"/>
      <c r="V56" s="1"/>
      <c r="W56" s="1"/>
    </row>
    <row r="57" spans="1:23" x14ac:dyDescent="0.2">
      <c r="A57" s="1">
        <v>9</v>
      </c>
      <c r="B57" s="12"/>
      <c r="C57" s="13"/>
      <c r="D57" s="12"/>
      <c r="E57" s="12"/>
      <c r="F57" s="12"/>
      <c r="G57" s="19"/>
      <c r="H57" s="44" t="s">
        <v>928</v>
      </c>
      <c r="I57" s="12"/>
      <c r="J57" s="13"/>
      <c r="K57" s="12"/>
      <c r="L57" s="12"/>
      <c r="M57" s="21">
        <v>25187054480</v>
      </c>
      <c r="N57" s="21">
        <v>28750000000</v>
      </c>
      <c r="O57" s="21"/>
      <c r="P57" s="21"/>
      <c r="Q57" s="1"/>
      <c r="R57" s="1">
        <f t="shared" si="1"/>
        <v>0</v>
      </c>
      <c r="S57" s="1"/>
      <c r="T57" s="1"/>
      <c r="U57" s="1"/>
      <c r="V57" s="1"/>
      <c r="W57" s="1"/>
    </row>
    <row r="58" spans="1:23" x14ac:dyDescent="0.2">
      <c r="A58" s="1"/>
      <c r="B58" s="12"/>
      <c r="C58" s="13"/>
      <c r="D58" s="12"/>
      <c r="E58" s="12"/>
      <c r="F58" s="12"/>
      <c r="G58" s="19"/>
      <c r="H58" s="44" t="s">
        <v>1114</v>
      </c>
      <c r="I58" s="12"/>
      <c r="J58" s="13"/>
      <c r="K58" s="12"/>
      <c r="L58" s="12"/>
      <c r="M58" s="21"/>
      <c r="N58" s="21">
        <f>4016640350+7398431093</f>
        <v>11415071443</v>
      </c>
      <c r="O58" s="21"/>
      <c r="P58" s="21"/>
      <c r="Q58" s="1"/>
      <c r="R58" s="1"/>
      <c r="S58" s="1"/>
      <c r="T58" s="1"/>
      <c r="U58" s="1"/>
      <c r="V58" s="1"/>
      <c r="W58" s="1"/>
    </row>
    <row r="59" spans="1:23" x14ac:dyDescent="0.2">
      <c r="A59" s="1">
        <v>9</v>
      </c>
      <c r="B59" s="12"/>
      <c r="C59" s="13"/>
      <c r="D59" s="12"/>
      <c r="E59" s="12"/>
      <c r="F59" s="12"/>
      <c r="G59" s="19"/>
      <c r="H59" s="44" t="s">
        <v>835</v>
      </c>
      <c r="I59" s="12"/>
      <c r="J59" s="13"/>
      <c r="K59" s="12"/>
      <c r="L59" s="12"/>
      <c r="M59" s="21">
        <v>70579945520</v>
      </c>
      <c r="N59" s="21">
        <v>0</v>
      </c>
      <c r="O59" s="21"/>
      <c r="P59" s="21"/>
      <c r="Q59" s="1"/>
      <c r="R59" s="1">
        <f t="shared" si="1"/>
        <v>0</v>
      </c>
      <c r="S59" s="1"/>
      <c r="T59" s="1"/>
      <c r="U59" s="1"/>
      <c r="V59" s="1"/>
      <c r="W59" s="1"/>
    </row>
    <row r="60" spans="1:23" ht="38.25" x14ac:dyDescent="0.2">
      <c r="A60" s="1">
        <v>8</v>
      </c>
      <c r="B60" s="12"/>
      <c r="C60" s="13" t="s">
        <v>10</v>
      </c>
      <c r="D60" s="12"/>
      <c r="E60" s="12"/>
      <c r="F60" s="12"/>
      <c r="G60" s="19">
        <v>296066</v>
      </c>
      <c r="H60" s="16" t="s">
        <v>345</v>
      </c>
      <c r="I60" s="12"/>
      <c r="J60" s="13"/>
      <c r="K60" s="12"/>
      <c r="L60" s="12"/>
      <c r="M60" s="21">
        <v>200000000</v>
      </c>
      <c r="N60" s="21">
        <f>+N61</f>
        <v>0</v>
      </c>
      <c r="O60" s="21">
        <f t="shared" ref="O60:Q60" si="7">+O61</f>
        <v>0</v>
      </c>
      <c r="P60" s="21">
        <f t="shared" si="7"/>
        <v>0</v>
      </c>
      <c r="Q60" s="21">
        <f t="shared" si="7"/>
        <v>0</v>
      </c>
      <c r="R60" s="1"/>
      <c r="S60" s="1"/>
      <c r="T60" s="1"/>
      <c r="U60" s="1"/>
      <c r="V60" s="1"/>
      <c r="W60" s="1"/>
    </row>
    <row r="61" spans="1:23" x14ac:dyDescent="0.2">
      <c r="A61" s="1">
        <v>9</v>
      </c>
      <c r="B61" s="12"/>
      <c r="C61" s="13"/>
      <c r="D61" s="12"/>
      <c r="E61" s="12"/>
      <c r="F61" s="12"/>
      <c r="G61" s="19"/>
      <c r="H61" s="44" t="s">
        <v>835</v>
      </c>
      <c r="I61" s="12"/>
      <c r="J61" s="13"/>
      <c r="K61" s="12"/>
      <c r="L61" s="12"/>
      <c r="M61" s="21">
        <v>200000000</v>
      </c>
      <c r="N61" s="21">
        <v>0</v>
      </c>
      <c r="O61" s="21"/>
      <c r="P61" s="21"/>
      <c r="Q61" s="1"/>
      <c r="R61" s="1">
        <f t="shared" si="1"/>
        <v>0</v>
      </c>
      <c r="S61" s="1"/>
      <c r="T61" s="1"/>
      <c r="U61" s="1"/>
      <c r="V61" s="1"/>
      <c r="W61" s="1"/>
    </row>
    <row r="62" spans="1:23" ht="63.75" x14ac:dyDescent="0.2">
      <c r="A62" s="1">
        <v>8</v>
      </c>
      <c r="B62" s="12"/>
      <c r="C62" s="13" t="s">
        <v>10</v>
      </c>
      <c r="D62" s="12"/>
      <c r="E62" s="12"/>
      <c r="F62" s="12"/>
      <c r="G62" s="19">
        <v>296067</v>
      </c>
      <c r="H62" s="16" t="s">
        <v>1006</v>
      </c>
      <c r="I62" s="12"/>
      <c r="J62" s="13"/>
      <c r="K62" s="12"/>
      <c r="L62" s="12"/>
      <c r="M62" s="21">
        <v>2000000000</v>
      </c>
      <c r="N62" s="21">
        <f>+N63</f>
        <v>0</v>
      </c>
      <c r="O62" s="21">
        <f t="shared" ref="O62:Q62" si="8">+O63</f>
        <v>0</v>
      </c>
      <c r="P62" s="21">
        <f t="shared" si="8"/>
        <v>0</v>
      </c>
      <c r="Q62" s="21">
        <f t="shared" si="8"/>
        <v>0</v>
      </c>
      <c r="R62" s="1"/>
      <c r="S62" s="1"/>
      <c r="T62" s="1"/>
      <c r="U62" s="1"/>
      <c r="V62" s="1"/>
      <c r="W62" s="1"/>
    </row>
    <row r="63" spans="1:23" x14ac:dyDescent="0.2">
      <c r="A63" s="1">
        <v>9</v>
      </c>
      <c r="B63" s="12"/>
      <c r="C63" s="13"/>
      <c r="D63" s="12"/>
      <c r="E63" s="12"/>
      <c r="F63" s="12"/>
      <c r="G63" s="19"/>
      <c r="H63" s="44" t="s">
        <v>835</v>
      </c>
      <c r="I63" s="12"/>
      <c r="J63" s="13"/>
      <c r="K63" s="12"/>
      <c r="L63" s="12"/>
      <c r="M63" s="21">
        <v>2000000000</v>
      </c>
      <c r="N63" s="21">
        <v>0</v>
      </c>
      <c r="O63" s="21"/>
      <c r="P63" s="21"/>
      <c r="Q63" s="1"/>
      <c r="R63" s="1">
        <f t="shared" si="1"/>
        <v>0</v>
      </c>
      <c r="S63" s="1"/>
      <c r="T63" s="1"/>
      <c r="U63" s="1"/>
      <c r="V63" s="1"/>
      <c r="W63" s="1"/>
    </row>
    <row r="64" spans="1:23" ht="38.25" x14ac:dyDescent="0.2">
      <c r="A64" s="1">
        <v>8</v>
      </c>
      <c r="B64" s="12"/>
      <c r="C64" s="13" t="s">
        <v>10</v>
      </c>
      <c r="D64" s="12"/>
      <c r="E64" s="12"/>
      <c r="F64" s="12"/>
      <c r="G64" s="19">
        <v>296070</v>
      </c>
      <c r="H64" s="16" t="s">
        <v>782</v>
      </c>
      <c r="I64" s="12"/>
      <c r="J64" s="13"/>
      <c r="K64" s="12"/>
      <c r="L64" s="12"/>
      <c r="M64" s="21">
        <v>4000000000</v>
      </c>
      <c r="N64" s="21">
        <f>+N65+N66</f>
        <v>0</v>
      </c>
      <c r="O64" s="21">
        <f t="shared" ref="O64:Q64" si="9">+O65+O66</f>
        <v>0</v>
      </c>
      <c r="P64" s="21">
        <f t="shared" si="9"/>
        <v>0</v>
      </c>
      <c r="Q64" s="21">
        <f t="shared" si="9"/>
        <v>0</v>
      </c>
      <c r="R64" s="1"/>
      <c r="S64" s="1"/>
      <c r="T64" s="1"/>
      <c r="U64" s="1"/>
      <c r="V64" s="1"/>
      <c r="W64" s="1"/>
    </row>
    <row r="65" spans="1:23" x14ac:dyDescent="0.2">
      <c r="A65" s="1">
        <v>9</v>
      </c>
      <c r="B65" s="12"/>
      <c r="C65" s="13"/>
      <c r="D65" s="12"/>
      <c r="E65" s="12"/>
      <c r="F65" s="12"/>
      <c r="G65" s="19"/>
      <c r="H65" s="16" t="s">
        <v>928</v>
      </c>
      <c r="I65" s="12"/>
      <c r="J65" s="13"/>
      <c r="K65" s="12"/>
      <c r="L65" s="12"/>
      <c r="M65" s="21">
        <v>800000000</v>
      </c>
      <c r="N65" s="21"/>
      <c r="O65" s="21"/>
      <c r="P65" s="21"/>
      <c r="Q65" s="1"/>
      <c r="R65" s="1">
        <f t="shared" si="1"/>
        <v>0</v>
      </c>
      <c r="S65" s="1"/>
      <c r="T65" s="1"/>
      <c r="U65" s="1"/>
      <c r="V65" s="1"/>
      <c r="W65" s="1"/>
    </row>
    <row r="66" spans="1:23" x14ac:dyDescent="0.2">
      <c r="A66" s="1">
        <v>9</v>
      </c>
      <c r="B66" s="12"/>
      <c r="C66" s="13"/>
      <c r="D66" s="12"/>
      <c r="E66" s="12"/>
      <c r="F66" s="12"/>
      <c r="G66" s="19"/>
      <c r="H66" s="44" t="s">
        <v>835</v>
      </c>
      <c r="I66" s="12"/>
      <c r="J66" s="13"/>
      <c r="K66" s="12"/>
      <c r="L66" s="12"/>
      <c r="M66" s="21">
        <v>3200000000</v>
      </c>
      <c r="N66" s="21">
        <v>0</v>
      </c>
      <c r="O66" s="21"/>
      <c r="P66" s="21"/>
      <c r="Q66" s="1"/>
      <c r="R66" s="1">
        <f t="shared" si="1"/>
        <v>0</v>
      </c>
      <c r="S66" s="1"/>
      <c r="T66" s="1"/>
      <c r="U66" s="1"/>
      <c r="V66" s="1"/>
      <c r="W66" s="1"/>
    </row>
    <row r="67" spans="1:23" ht="63.75" x14ac:dyDescent="0.2">
      <c r="A67" s="1">
        <v>8</v>
      </c>
      <c r="B67" s="12"/>
      <c r="C67" s="13" t="s">
        <v>10</v>
      </c>
      <c r="D67" s="12"/>
      <c r="E67" s="12"/>
      <c r="F67" s="12"/>
      <c r="G67" s="19">
        <v>296092</v>
      </c>
      <c r="H67" s="16" t="s">
        <v>235</v>
      </c>
      <c r="I67" s="12"/>
      <c r="J67" s="13"/>
      <c r="K67" s="12"/>
      <c r="L67" s="12"/>
      <c r="M67" s="21">
        <v>3200000000</v>
      </c>
      <c r="N67" s="21">
        <f>+N68+N69</f>
        <v>0</v>
      </c>
      <c r="O67" s="21">
        <f t="shared" ref="O67:Q67" si="10">+O69</f>
        <v>0</v>
      </c>
      <c r="P67" s="21">
        <f t="shared" si="10"/>
        <v>0</v>
      </c>
      <c r="Q67" s="21">
        <f t="shared" si="10"/>
        <v>0</v>
      </c>
      <c r="R67" s="1"/>
      <c r="S67" s="1"/>
      <c r="T67" s="1"/>
      <c r="U67" s="1"/>
      <c r="V67" s="1"/>
      <c r="W67" s="1"/>
    </row>
    <row r="68" spans="1:23" x14ac:dyDescent="0.2">
      <c r="A68" s="1"/>
      <c r="B68" s="12"/>
      <c r="C68" s="13"/>
      <c r="D68" s="12"/>
      <c r="E68" s="12"/>
      <c r="F68" s="12"/>
      <c r="G68" s="19"/>
      <c r="H68" s="44" t="s">
        <v>835</v>
      </c>
      <c r="I68" s="12"/>
      <c r="J68" s="13"/>
      <c r="K68" s="12"/>
      <c r="L68" s="12"/>
      <c r="M68" s="21"/>
      <c r="N68" s="21">
        <v>0</v>
      </c>
      <c r="O68" s="21"/>
      <c r="P68" s="21"/>
      <c r="Q68" s="21"/>
      <c r="R68" s="1"/>
      <c r="S68" s="1"/>
      <c r="T68" s="1"/>
      <c r="U68" s="1"/>
      <c r="V68" s="1"/>
      <c r="W68" s="1"/>
    </row>
    <row r="69" spans="1:23" x14ac:dyDescent="0.2">
      <c r="A69" s="1">
        <v>9</v>
      </c>
      <c r="B69" s="12"/>
      <c r="C69" s="13"/>
      <c r="D69" s="12"/>
      <c r="E69" s="12"/>
      <c r="F69" s="12"/>
      <c r="G69" s="19"/>
      <c r="H69" s="44" t="s">
        <v>928</v>
      </c>
      <c r="I69" s="12"/>
      <c r="J69" s="13"/>
      <c r="K69" s="12"/>
      <c r="L69" s="12"/>
      <c r="M69" s="21">
        <v>3200000000</v>
      </c>
      <c r="N69" s="21">
        <v>0</v>
      </c>
      <c r="O69" s="21"/>
      <c r="P69" s="21"/>
      <c r="Q69" s="1"/>
      <c r="R69" s="1">
        <f t="shared" si="1"/>
        <v>0</v>
      </c>
      <c r="S69" s="1"/>
      <c r="T69" s="1"/>
      <c r="U69" s="1"/>
      <c r="V69" s="1"/>
      <c r="W69" s="1"/>
    </row>
    <row r="70" spans="1:23" ht="25.5" x14ac:dyDescent="0.2">
      <c r="A70" s="1">
        <v>6</v>
      </c>
      <c r="B70" s="12" t="s">
        <v>955</v>
      </c>
      <c r="C70" s="13"/>
      <c r="D70" s="12"/>
      <c r="E70" s="12"/>
      <c r="F70" s="12"/>
      <c r="G70" s="19"/>
      <c r="H70" s="20" t="s">
        <v>700</v>
      </c>
      <c r="I70" s="12"/>
      <c r="J70" s="13"/>
      <c r="K70" s="12"/>
      <c r="L70" s="12"/>
      <c r="M70" s="17">
        <v>1000000000</v>
      </c>
      <c r="N70" s="17">
        <f>+N73</f>
        <v>0</v>
      </c>
      <c r="O70" s="21"/>
      <c r="P70" s="21"/>
      <c r="Q70" s="1"/>
      <c r="R70" s="1"/>
      <c r="S70" s="1"/>
      <c r="T70" s="1"/>
      <c r="U70" s="1"/>
      <c r="V70" s="1"/>
      <c r="W70" s="1"/>
    </row>
    <row r="71" spans="1:23" ht="38.25" x14ac:dyDescent="0.2">
      <c r="A71" s="1">
        <v>7</v>
      </c>
      <c r="B71" s="12"/>
      <c r="C71" s="13"/>
      <c r="D71" s="12" t="s">
        <v>503</v>
      </c>
      <c r="E71" s="18">
        <v>467</v>
      </c>
      <c r="F71" s="12" t="s">
        <v>1080</v>
      </c>
      <c r="G71" s="19"/>
      <c r="H71" s="16" t="s">
        <v>1052</v>
      </c>
      <c r="I71" s="18">
        <v>3</v>
      </c>
      <c r="J71" s="13" t="s">
        <v>925</v>
      </c>
      <c r="K71" s="18"/>
      <c r="L71" s="12"/>
      <c r="M71" s="14"/>
      <c r="N71" s="14"/>
      <c r="O71" s="21"/>
      <c r="P71" s="21"/>
      <c r="Q71" s="1"/>
      <c r="R71" s="1"/>
      <c r="S71" s="1"/>
      <c r="T71" s="1"/>
      <c r="U71" s="1"/>
      <c r="V71" s="1"/>
      <c r="W71" s="1"/>
    </row>
    <row r="72" spans="1:23" ht="25.5" x14ac:dyDescent="0.2">
      <c r="A72" s="1"/>
      <c r="B72" s="12"/>
      <c r="C72" s="13"/>
      <c r="D72" s="12"/>
      <c r="E72" s="18">
        <v>466</v>
      </c>
      <c r="F72" s="12" t="s">
        <v>1116</v>
      </c>
      <c r="G72" s="19"/>
      <c r="H72" s="16" t="s">
        <v>1156</v>
      </c>
      <c r="I72" s="18">
        <v>2</v>
      </c>
      <c r="J72" s="13" t="s">
        <v>925</v>
      </c>
      <c r="K72" s="18"/>
      <c r="L72" s="12"/>
      <c r="M72" s="14"/>
      <c r="N72" s="14"/>
      <c r="O72" s="21"/>
      <c r="P72" s="21"/>
      <c r="Q72" s="1"/>
      <c r="R72" s="1"/>
      <c r="S72" s="1"/>
      <c r="T72" s="1"/>
      <c r="U72" s="1"/>
      <c r="V72" s="1"/>
      <c r="W72" s="1"/>
    </row>
    <row r="73" spans="1:23" ht="51" x14ac:dyDescent="0.2">
      <c r="A73" s="1">
        <v>8</v>
      </c>
      <c r="B73" s="12"/>
      <c r="C73" s="13" t="s">
        <v>10</v>
      </c>
      <c r="D73" s="12"/>
      <c r="E73" s="12"/>
      <c r="F73" s="12"/>
      <c r="G73" s="19">
        <v>296104</v>
      </c>
      <c r="H73" s="16" t="s">
        <v>711</v>
      </c>
      <c r="I73" s="12"/>
      <c r="J73" s="13"/>
      <c r="K73" s="12"/>
      <c r="L73" s="12"/>
      <c r="M73" s="21">
        <v>1000000000</v>
      </c>
      <c r="N73" s="21">
        <f>+N74</f>
        <v>0</v>
      </c>
      <c r="O73" s="21">
        <f t="shared" ref="O73:Q73" si="11">+O74</f>
        <v>0</v>
      </c>
      <c r="P73" s="21">
        <f t="shared" si="11"/>
        <v>0</v>
      </c>
      <c r="Q73" s="21">
        <f t="shared" si="11"/>
        <v>0</v>
      </c>
      <c r="R73" s="1"/>
      <c r="S73" s="1"/>
      <c r="T73" s="1"/>
      <c r="U73" s="1"/>
      <c r="V73" s="1"/>
      <c r="W73" s="1"/>
    </row>
    <row r="74" spans="1:23" x14ac:dyDescent="0.2">
      <c r="A74" s="1">
        <v>9</v>
      </c>
      <c r="B74" s="12"/>
      <c r="C74" s="13"/>
      <c r="D74" s="12"/>
      <c r="E74" s="12"/>
      <c r="F74" s="12"/>
      <c r="G74" s="19"/>
      <c r="H74" s="44" t="s">
        <v>835</v>
      </c>
      <c r="I74" s="12"/>
      <c r="J74" s="13"/>
      <c r="K74" s="12"/>
      <c r="L74" s="12"/>
      <c r="M74" s="21">
        <v>1000000000</v>
      </c>
      <c r="N74" s="21">
        <v>0</v>
      </c>
      <c r="O74" s="21"/>
      <c r="P74" s="21"/>
      <c r="Q74" s="1"/>
      <c r="R74" s="1">
        <f t="shared" si="1"/>
        <v>0</v>
      </c>
      <c r="S74" s="1"/>
      <c r="T74" s="1"/>
      <c r="U74" s="1"/>
      <c r="V74" s="1"/>
      <c r="W74" s="1"/>
    </row>
    <row r="75" spans="1:23" x14ac:dyDescent="0.2">
      <c r="A75" s="1"/>
      <c r="B75" s="12"/>
      <c r="C75" s="13"/>
      <c r="D75" s="12"/>
      <c r="E75" s="12"/>
      <c r="F75" s="12"/>
      <c r="G75" s="19"/>
      <c r="H75" s="16"/>
      <c r="I75" s="12"/>
      <c r="J75" s="13"/>
      <c r="K75" s="12"/>
      <c r="L75" s="12"/>
      <c r="M75" s="21"/>
      <c r="N75" s="21"/>
      <c r="O75" s="21"/>
      <c r="P75" s="21"/>
      <c r="Q75" s="1"/>
      <c r="R75" s="1"/>
      <c r="S75" s="1"/>
      <c r="T75" s="1"/>
      <c r="U75" s="1"/>
      <c r="V75" s="1"/>
      <c r="W75" s="1"/>
    </row>
    <row r="76" spans="1:23" ht="25.5" x14ac:dyDescent="0.2">
      <c r="A76" s="1">
        <v>3</v>
      </c>
      <c r="B76" s="12" t="s">
        <v>841</v>
      </c>
      <c r="C76" s="13"/>
      <c r="D76" s="12"/>
      <c r="E76" s="12"/>
      <c r="F76" s="12"/>
      <c r="G76" s="19"/>
      <c r="H76" s="20" t="s">
        <v>165</v>
      </c>
      <c r="I76" s="12"/>
      <c r="J76" s="13"/>
      <c r="K76" s="12"/>
      <c r="L76" s="12"/>
      <c r="M76" s="17">
        <v>220000000</v>
      </c>
      <c r="N76" s="17">
        <f>+N77</f>
        <v>0</v>
      </c>
      <c r="O76" s="21"/>
      <c r="P76" s="21"/>
      <c r="Q76" s="1"/>
      <c r="R76" s="1"/>
      <c r="S76" s="1"/>
      <c r="T76" s="1"/>
      <c r="U76" s="1"/>
      <c r="V76" s="1"/>
      <c r="W76" s="1"/>
    </row>
    <row r="77" spans="1:23" x14ac:dyDescent="0.2">
      <c r="A77" s="1">
        <v>4</v>
      </c>
      <c r="B77" s="12" t="s">
        <v>450</v>
      </c>
      <c r="C77" s="13"/>
      <c r="D77" s="12"/>
      <c r="E77" s="12"/>
      <c r="F77" s="12"/>
      <c r="G77" s="19"/>
      <c r="H77" s="20" t="s">
        <v>256</v>
      </c>
      <c r="I77" s="12"/>
      <c r="J77" s="13"/>
      <c r="K77" s="12"/>
      <c r="L77" s="12"/>
      <c r="M77" s="17">
        <v>220000000</v>
      </c>
      <c r="N77" s="17">
        <f>+N79</f>
        <v>0</v>
      </c>
      <c r="O77" s="21"/>
      <c r="P77" s="21"/>
      <c r="Q77" s="1"/>
      <c r="R77" s="1"/>
      <c r="S77" s="1"/>
      <c r="T77" s="1"/>
      <c r="U77" s="1"/>
      <c r="V77" s="1"/>
      <c r="W77" s="1"/>
    </row>
    <row r="78" spans="1:23" ht="25.5" x14ac:dyDescent="0.2">
      <c r="A78" s="1">
        <v>5</v>
      </c>
      <c r="B78" s="12"/>
      <c r="C78" s="13"/>
      <c r="D78" s="12"/>
      <c r="E78" s="18">
        <v>621</v>
      </c>
      <c r="F78" s="12" t="s">
        <v>268</v>
      </c>
      <c r="G78" s="19"/>
      <c r="H78" s="16" t="s">
        <v>664</v>
      </c>
      <c r="I78" s="18">
        <v>8.1999999999999993</v>
      </c>
      <c r="J78" s="13" t="s">
        <v>440</v>
      </c>
      <c r="K78" s="18"/>
      <c r="L78" s="12"/>
      <c r="M78" s="14"/>
      <c r="N78" s="14"/>
      <c r="O78" s="21"/>
      <c r="P78" s="21"/>
      <c r="Q78" s="1"/>
      <c r="R78" s="1"/>
      <c r="S78" s="1"/>
      <c r="T78" s="1"/>
      <c r="U78" s="1"/>
      <c r="V78" s="1"/>
      <c r="W78" s="1"/>
    </row>
    <row r="79" spans="1:23" ht="25.5" x14ac:dyDescent="0.2">
      <c r="A79" s="1">
        <v>6</v>
      </c>
      <c r="B79" s="12" t="s">
        <v>497</v>
      </c>
      <c r="C79" s="13"/>
      <c r="D79" s="12"/>
      <c r="E79" s="12"/>
      <c r="F79" s="12"/>
      <c r="G79" s="19"/>
      <c r="H79" s="20" t="s">
        <v>708</v>
      </c>
      <c r="I79" s="12"/>
      <c r="J79" s="13"/>
      <c r="K79" s="12"/>
      <c r="L79" s="12"/>
      <c r="M79" s="17">
        <v>220000000</v>
      </c>
      <c r="N79" s="17">
        <f>+N81</f>
        <v>0</v>
      </c>
      <c r="O79" s="21"/>
      <c r="P79" s="21"/>
      <c r="Q79" s="1"/>
      <c r="R79" s="1"/>
      <c r="S79" s="1"/>
      <c r="T79" s="1"/>
      <c r="U79" s="1"/>
      <c r="V79" s="1"/>
      <c r="W79" s="1"/>
    </row>
    <row r="80" spans="1:23" ht="51" x14ac:dyDescent="0.2">
      <c r="A80" s="1">
        <v>7</v>
      </c>
      <c r="B80" s="12"/>
      <c r="C80" s="13"/>
      <c r="D80" s="12" t="s">
        <v>63</v>
      </c>
      <c r="E80" s="18">
        <v>581</v>
      </c>
      <c r="F80" s="12" t="s">
        <v>1080</v>
      </c>
      <c r="G80" s="19"/>
      <c r="H80" s="16" t="s">
        <v>117</v>
      </c>
      <c r="I80" s="18">
        <v>32</v>
      </c>
      <c r="J80" s="13" t="s">
        <v>924</v>
      </c>
      <c r="K80" s="18"/>
      <c r="L80" s="12"/>
      <c r="M80" s="14"/>
      <c r="N80" s="14"/>
      <c r="O80" s="21"/>
      <c r="P80" s="21"/>
      <c r="Q80" s="1"/>
      <c r="R80" s="1"/>
      <c r="S80" s="1"/>
      <c r="T80" s="1"/>
      <c r="U80" s="1"/>
      <c r="V80" s="1"/>
      <c r="W80" s="1"/>
    </row>
    <row r="81" spans="1:23" ht="51" x14ac:dyDescent="0.2">
      <c r="A81" s="1">
        <v>8</v>
      </c>
      <c r="B81" s="12"/>
      <c r="C81" s="13" t="s">
        <v>10</v>
      </c>
      <c r="D81" s="12"/>
      <c r="E81" s="12"/>
      <c r="F81" s="12"/>
      <c r="G81" s="19">
        <v>296068</v>
      </c>
      <c r="H81" s="16" t="s">
        <v>812</v>
      </c>
      <c r="I81" s="12"/>
      <c r="J81" s="13"/>
      <c r="K81" s="12"/>
      <c r="L81" s="12"/>
      <c r="M81" s="21">
        <v>220000000</v>
      </c>
      <c r="N81" s="21">
        <f>+N82</f>
        <v>0</v>
      </c>
      <c r="O81" s="21">
        <f t="shared" ref="O81:Q81" si="12">+O82</f>
        <v>0</v>
      </c>
      <c r="P81" s="21">
        <f t="shared" si="12"/>
        <v>0</v>
      </c>
      <c r="Q81" s="21">
        <f t="shared" si="12"/>
        <v>0</v>
      </c>
      <c r="R81" s="1"/>
      <c r="S81" s="1"/>
      <c r="T81" s="1"/>
      <c r="U81" s="1"/>
      <c r="V81" s="1"/>
      <c r="W81" s="1"/>
    </row>
    <row r="82" spans="1:23" x14ac:dyDescent="0.2">
      <c r="A82" s="1">
        <v>9</v>
      </c>
      <c r="B82" s="12"/>
      <c r="C82" s="13"/>
      <c r="D82" s="12"/>
      <c r="E82" s="12"/>
      <c r="F82" s="12"/>
      <c r="G82" s="19"/>
      <c r="H82" s="44" t="s">
        <v>835</v>
      </c>
      <c r="I82" s="12"/>
      <c r="J82" s="13"/>
      <c r="K82" s="12"/>
      <c r="L82" s="12"/>
      <c r="M82" s="21">
        <v>220000000</v>
      </c>
      <c r="N82" s="21">
        <v>0</v>
      </c>
      <c r="O82" s="21"/>
      <c r="P82" s="21"/>
      <c r="Q82" s="1"/>
      <c r="R82" s="1">
        <f t="shared" si="1"/>
        <v>0</v>
      </c>
      <c r="S82" s="1"/>
      <c r="T82" s="1"/>
      <c r="U82" s="1"/>
      <c r="V82" s="1"/>
      <c r="W82" s="1"/>
    </row>
    <row r="83" spans="1:23" x14ac:dyDescent="0.2">
      <c r="A83" s="1"/>
      <c r="B83" s="12"/>
      <c r="C83" s="13"/>
      <c r="D83" s="12"/>
      <c r="E83" s="12"/>
      <c r="F83" s="12"/>
      <c r="G83" s="19"/>
      <c r="H83" s="16"/>
      <c r="I83" s="12"/>
      <c r="J83" s="13"/>
      <c r="K83" s="12"/>
      <c r="L83" s="12"/>
      <c r="M83" s="21"/>
      <c r="N83" s="21"/>
      <c r="O83" s="21"/>
      <c r="P83" s="21"/>
      <c r="Q83" s="1"/>
      <c r="R83" s="1"/>
      <c r="S83" s="1"/>
      <c r="T83" s="1"/>
      <c r="U83" s="1"/>
      <c r="V83" s="1"/>
      <c r="W83" s="1"/>
    </row>
    <row r="84" spans="1:23" ht="30" x14ac:dyDescent="0.25">
      <c r="A84" s="1">
        <v>10</v>
      </c>
      <c r="B84" s="12"/>
      <c r="C84" s="13"/>
      <c r="D84" s="12"/>
      <c r="E84" s="12"/>
      <c r="F84" s="12"/>
      <c r="G84" s="19"/>
      <c r="H84" s="22" t="s">
        <v>87</v>
      </c>
      <c r="I84" s="23"/>
      <c r="J84" s="24"/>
      <c r="K84" s="23"/>
      <c r="L84" s="23"/>
      <c r="M84" s="25">
        <v>136412170600</v>
      </c>
      <c r="N84" s="25">
        <f>+N76+N34+N10</f>
        <v>55479471443</v>
      </c>
      <c r="O84" s="21"/>
      <c r="P84" s="21"/>
      <c r="Q84" s="1"/>
      <c r="R84" s="1"/>
      <c r="S84" s="1"/>
      <c r="T84" s="1"/>
      <c r="U84" s="1"/>
      <c r="V84" s="1"/>
      <c r="W84" s="1"/>
    </row>
    <row r="85" spans="1:23" x14ac:dyDescent="0.2">
      <c r="B85" s="28"/>
      <c r="C85" s="29"/>
      <c r="D85" s="28"/>
      <c r="E85" s="28"/>
      <c r="F85" s="28"/>
      <c r="G85" s="19"/>
      <c r="H85" s="30"/>
      <c r="I85" s="28"/>
      <c r="J85" s="29"/>
      <c r="K85" s="28"/>
      <c r="L85" s="28"/>
      <c r="M85" s="15"/>
      <c r="N85" s="15"/>
      <c r="O85" s="21"/>
      <c r="P85" s="21"/>
      <c r="Q85" s="1"/>
      <c r="R85" s="1"/>
      <c r="S85" s="1"/>
      <c r="T85" s="1"/>
      <c r="U85" s="1"/>
      <c r="V85" s="1"/>
      <c r="W85" s="1"/>
    </row>
    <row r="86" spans="1:23" x14ac:dyDescent="0.2">
      <c r="G86" s="11"/>
      <c r="O86" s="1"/>
      <c r="P86" s="1"/>
      <c r="Q86" s="1"/>
      <c r="R86" s="1"/>
      <c r="S86" s="1"/>
      <c r="T86" s="1"/>
      <c r="U86" s="1"/>
      <c r="V86" s="1"/>
      <c r="W86" s="1"/>
    </row>
    <row r="87" spans="1:23" x14ac:dyDescent="0.2">
      <c r="G87" s="11"/>
      <c r="H87" s="2" t="s">
        <v>1157</v>
      </c>
      <c r="N87" s="1">
        <f>+N23+N26+N28+N30+N32+N51+N53+N59+N61+N63+N66+N68+N74+N82</f>
        <v>137400000</v>
      </c>
      <c r="O87" s="1"/>
      <c r="P87" s="1"/>
      <c r="Q87" s="1"/>
      <c r="R87" s="1"/>
      <c r="S87" s="1"/>
      <c r="T87" s="1"/>
      <c r="U87" s="1"/>
      <c r="V87" s="1"/>
      <c r="W87" s="1"/>
    </row>
    <row r="88" spans="1:23" x14ac:dyDescent="0.2">
      <c r="G88" s="11"/>
      <c r="H88" s="2" t="s">
        <v>928</v>
      </c>
      <c r="N88" s="1">
        <f>+N57+N69</f>
        <v>28750000000</v>
      </c>
      <c r="O88" s="1"/>
      <c r="P88" s="1"/>
      <c r="Q88" s="1"/>
      <c r="R88" s="1"/>
      <c r="S88" s="1"/>
      <c r="T88" s="1"/>
      <c r="U88" s="1"/>
      <c r="V88" s="1"/>
      <c r="W88" s="1"/>
    </row>
    <row r="89" spans="1:23" x14ac:dyDescent="0.2">
      <c r="G89" s="11"/>
      <c r="H89" s="2" t="s">
        <v>88</v>
      </c>
      <c r="N89" s="1">
        <f>+N55</f>
        <v>0</v>
      </c>
      <c r="O89" s="1"/>
      <c r="P89" s="1"/>
      <c r="Q89" s="1"/>
      <c r="R89" s="1"/>
      <c r="S89" s="1"/>
      <c r="T89" s="1"/>
      <c r="U89" s="1"/>
      <c r="V89" s="1"/>
      <c r="W89" s="1"/>
    </row>
    <row r="90" spans="1:23" x14ac:dyDescent="0.2">
      <c r="G90" s="11"/>
      <c r="H90" s="2" t="s">
        <v>962</v>
      </c>
      <c r="N90" s="1">
        <f>+N56</f>
        <v>0</v>
      </c>
      <c r="O90" s="1"/>
      <c r="P90" s="1"/>
      <c r="Q90" s="1"/>
      <c r="R90" s="1"/>
      <c r="S90" s="1"/>
      <c r="T90" s="1"/>
      <c r="U90" s="1"/>
      <c r="V90" s="1"/>
      <c r="W90" s="1"/>
    </row>
    <row r="91" spans="1:23" x14ac:dyDescent="0.2">
      <c r="G91" s="11"/>
      <c r="H91" s="2" t="s">
        <v>785</v>
      </c>
      <c r="N91" s="1">
        <f>+N22+N25</f>
        <v>15177000000</v>
      </c>
      <c r="O91" s="1"/>
      <c r="P91" s="1"/>
      <c r="Q91" s="1"/>
      <c r="R91" s="1"/>
      <c r="S91" s="1"/>
      <c r="T91" s="1"/>
      <c r="U91" s="1"/>
      <c r="V91" s="1"/>
      <c r="W91" s="1"/>
    </row>
    <row r="92" spans="1:23" x14ac:dyDescent="0.2">
      <c r="G92" s="11"/>
      <c r="H92" s="2" t="s">
        <v>1114</v>
      </c>
      <c r="N92" s="1">
        <f>+N58</f>
        <v>11415071443</v>
      </c>
      <c r="O92" s="1"/>
      <c r="P92" s="1"/>
      <c r="Q92" s="1"/>
      <c r="R92" s="1"/>
      <c r="S92" s="1"/>
      <c r="T92" s="1"/>
      <c r="U92" s="1"/>
      <c r="V92" s="1"/>
      <c r="W92" s="1"/>
    </row>
    <row r="93" spans="1:23" x14ac:dyDescent="0.2">
      <c r="G93" s="11"/>
      <c r="H93" s="5"/>
      <c r="N93" s="6">
        <f>SUM(N87:N92)</f>
        <v>55479471443</v>
      </c>
      <c r="O93" s="1"/>
      <c r="P93" s="1"/>
      <c r="Q93" s="1"/>
      <c r="R93" s="1"/>
      <c r="S93" s="1"/>
      <c r="T93" s="1"/>
      <c r="U93" s="1"/>
      <c r="V93" s="1"/>
      <c r="W93" s="1"/>
    </row>
    <row r="94" spans="1:23" x14ac:dyDescent="0.2">
      <c r="G94" s="11"/>
      <c r="O94" s="1"/>
      <c r="P94" s="1"/>
      <c r="Q94" s="1"/>
      <c r="R94" s="1"/>
      <c r="S94" s="1"/>
      <c r="T94" s="1"/>
      <c r="U94" s="1"/>
      <c r="V94" s="1"/>
      <c r="W94" s="1"/>
    </row>
    <row r="95" spans="1:23" x14ac:dyDescent="0.2">
      <c r="G95" s="11"/>
      <c r="O95" s="1"/>
      <c r="P95" s="1"/>
      <c r="Q95" s="1"/>
      <c r="R95" s="1"/>
      <c r="S95" s="1"/>
      <c r="T95" s="1"/>
      <c r="U95" s="1"/>
      <c r="V95" s="1"/>
      <c r="W95" s="1"/>
    </row>
    <row r="96" spans="1:23" x14ac:dyDescent="0.2">
      <c r="G96" s="11"/>
      <c r="O96" s="1"/>
      <c r="P96" s="1"/>
      <c r="Q96" s="1"/>
      <c r="R96" s="1"/>
      <c r="S96" s="1"/>
      <c r="T96" s="1"/>
      <c r="U96" s="1"/>
      <c r="V96" s="1"/>
      <c r="W96" s="1"/>
    </row>
    <row r="97" spans="7:23" x14ac:dyDescent="0.2">
      <c r="G97" s="11"/>
      <c r="O97" s="1"/>
      <c r="P97" s="1"/>
      <c r="Q97" s="1"/>
      <c r="R97" s="1"/>
      <c r="S97" s="1"/>
      <c r="T97" s="1"/>
      <c r="U97" s="1"/>
      <c r="V97" s="1"/>
      <c r="W97" s="1"/>
    </row>
    <row r="98" spans="7:23" x14ac:dyDescent="0.2">
      <c r="G98" s="11"/>
      <c r="O98" s="1"/>
      <c r="P98" s="1"/>
      <c r="Q98" s="1"/>
      <c r="R98" s="1"/>
      <c r="S98" s="1"/>
      <c r="T98" s="1"/>
      <c r="U98" s="1"/>
      <c r="V98" s="1"/>
      <c r="W98" s="1"/>
    </row>
    <row r="99" spans="7:23" x14ac:dyDescent="0.2">
      <c r="G99" s="11"/>
      <c r="O99" s="1"/>
      <c r="P99" s="1"/>
      <c r="Q99" s="1"/>
      <c r="R99" s="1"/>
      <c r="S99" s="1"/>
      <c r="T99" s="1"/>
      <c r="U99" s="1"/>
      <c r="V99" s="1"/>
      <c r="W99" s="1"/>
    </row>
    <row r="100" spans="7:23" x14ac:dyDescent="0.2">
      <c r="G100" s="11"/>
      <c r="O100" s="1"/>
      <c r="P100" s="1"/>
      <c r="Q100" s="1"/>
      <c r="R100" s="1"/>
      <c r="S100" s="1"/>
      <c r="T100" s="1"/>
      <c r="U100" s="1"/>
      <c r="V100" s="1"/>
      <c r="W100" s="1"/>
    </row>
    <row r="101" spans="7:23" x14ac:dyDescent="0.2">
      <c r="G101" s="11"/>
      <c r="O101" s="1"/>
      <c r="P101" s="1"/>
      <c r="Q101" s="1"/>
      <c r="R101" s="1"/>
      <c r="S101" s="1"/>
      <c r="T101" s="1"/>
      <c r="U101" s="1"/>
      <c r="V101" s="1"/>
      <c r="W101" s="1"/>
    </row>
    <row r="102" spans="7:23" x14ac:dyDescent="0.2">
      <c r="G102" s="11"/>
      <c r="O102" s="1"/>
      <c r="P102" s="1"/>
      <c r="Q102" s="1"/>
      <c r="R102" s="1"/>
      <c r="S102" s="1"/>
      <c r="T102" s="1"/>
      <c r="U102" s="1"/>
      <c r="V102" s="1"/>
      <c r="W102" s="1"/>
    </row>
    <row r="103" spans="7:23" x14ac:dyDescent="0.2">
      <c r="G103" s="11"/>
      <c r="O103" s="1"/>
      <c r="P103" s="1"/>
      <c r="Q103" s="1"/>
      <c r="R103" s="1"/>
      <c r="S103" s="1"/>
      <c r="T103" s="1"/>
      <c r="U103" s="1"/>
      <c r="V103" s="1"/>
      <c r="W103" s="1"/>
    </row>
    <row r="104" spans="7:23" x14ac:dyDescent="0.2">
      <c r="G104" s="11"/>
      <c r="O104" s="1"/>
      <c r="P104" s="1"/>
      <c r="Q104" s="1"/>
      <c r="R104" s="1"/>
      <c r="S104" s="1"/>
      <c r="T104" s="1"/>
      <c r="U104" s="1"/>
      <c r="V104" s="1"/>
      <c r="W104" s="1"/>
    </row>
    <row r="105" spans="7:23" x14ac:dyDescent="0.2">
      <c r="G105" s="11"/>
      <c r="O105" s="1"/>
      <c r="P105" s="1"/>
      <c r="Q105" s="1"/>
      <c r="R105" s="1"/>
      <c r="S105" s="1"/>
      <c r="T105" s="1"/>
      <c r="U105" s="1"/>
      <c r="V105" s="1"/>
      <c r="W105" s="1"/>
    </row>
    <row r="106" spans="7:23" x14ac:dyDescent="0.2">
      <c r="G106" s="11"/>
      <c r="O106" s="1"/>
      <c r="P106" s="1"/>
      <c r="Q106" s="1"/>
      <c r="R106" s="1"/>
      <c r="S106" s="1"/>
      <c r="T106" s="1"/>
      <c r="U106" s="1"/>
      <c r="V106" s="1"/>
      <c r="W106" s="1"/>
    </row>
    <row r="107" spans="7:23" x14ac:dyDescent="0.2">
      <c r="G107" s="11"/>
    </row>
    <row r="108" spans="7:23" x14ac:dyDescent="0.2">
      <c r="G108" s="11"/>
    </row>
    <row r="109" spans="7:23" x14ac:dyDescent="0.2">
      <c r="G109" s="11"/>
    </row>
    <row r="110" spans="7:23" x14ac:dyDescent="0.2">
      <c r="G110" s="11"/>
    </row>
    <row r="111" spans="7:23" x14ac:dyDescent="0.2">
      <c r="G111" s="11"/>
    </row>
    <row r="112" spans="7:23" x14ac:dyDescent="0.2">
      <c r="G112" s="11"/>
    </row>
    <row r="113" spans="7:7" x14ac:dyDescent="0.2">
      <c r="G113" s="11"/>
    </row>
    <row r="114" spans="7:7" x14ac:dyDescent="0.2">
      <c r="G114" s="11"/>
    </row>
    <row r="115" spans="7:7" x14ac:dyDescent="0.2">
      <c r="G115" s="11"/>
    </row>
    <row r="116" spans="7:7" x14ac:dyDescent="0.2">
      <c r="G116" s="11"/>
    </row>
    <row r="117" spans="7:7" x14ac:dyDescent="0.2">
      <c r="G117" s="11"/>
    </row>
    <row r="118" spans="7:7" x14ac:dyDescent="0.2">
      <c r="G118" s="11"/>
    </row>
    <row r="119" spans="7:7" x14ac:dyDescent="0.2">
      <c r="G119" s="11"/>
    </row>
    <row r="120" spans="7:7" x14ac:dyDescent="0.2">
      <c r="G120" s="11"/>
    </row>
    <row r="121" spans="7:7" x14ac:dyDescent="0.2">
      <c r="G121" s="11"/>
    </row>
    <row r="122" spans="7:7" x14ac:dyDescent="0.2">
      <c r="G122" s="11"/>
    </row>
    <row r="123" spans="7:7" x14ac:dyDescent="0.2">
      <c r="G123" s="11"/>
    </row>
    <row r="124" spans="7:7" x14ac:dyDescent="0.2">
      <c r="G124" s="11"/>
    </row>
    <row r="125" spans="7:7" x14ac:dyDescent="0.2">
      <c r="G125" s="11"/>
    </row>
    <row r="126" spans="7:7" x14ac:dyDescent="0.2">
      <c r="G126" s="11"/>
    </row>
    <row r="127" spans="7:7" x14ac:dyDescent="0.2">
      <c r="G127" s="11"/>
    </row>
    <row r="128" spans="7:7" x14ac:dyDescent="0.2">
      <c r="G128" s="11"/>
    </row>
    <row r="129" spans="7:7" x14ac:dyDescent="0.2">
      <c r="G129" s="11"/>
    </row>
    <row r="130" spans="7:7" x14ac:dyDescent="0.2">
      <c r="G130" s="11"/>
    </row>
    <row r="131" spans="7:7" x14ac:dyDescent="0.2">
      <c r="G131" s="11"/>
    </row>
    <row r="132" spans="7:7" x14ac:dyDescent="0.2">
      <c r="G132" s="11"/>
    </row>
    <row r="133" spans="7:7" x14ac:dyDescent="0.2">
      <c r="G133" s="11"/>
    </row>
    <row r="134" spans="7:7" x14ac:dyDescent="0.2">
      <c r="G134" s="11"/>
    </row>
    <row r="135" spans="7:7" x14ac:dyDescent="0.2">
      <c r="G135" s="11"/>
    </row>
    <row r="136" spans="7:7" x14ac:dyDescent="0.2">
      <c r="G136" s="11"/>
    </row>
    <row r="137" spans="7:7" x14ac:dyDescent="0.2">
      <c r="G137" s="11"/>
    </row>
    <row r="138" spans="7:7" x14ac:dyDescent="0.2">
      <c r="G138" s="11"/>
    </row>
    <row r="139" spans="7:7" x14ac:dyDescent="0.2">
      <c r="G139" s="11"/>
    </row>
    <row r="140" spans="7:7" x14ac:dyDescent="0.2">
      <c r="G140" s="11"/>
    </row>
    <row r="141" spans="7:7" x14ac:dyDescent="0.2">
      <c r="G141" s="11"/>
    </row>
    <row r="142" spans="7:7" x14ac:dyDescent="0.2">
      <c r="G142" s="11"/>
    </row>
    <row r="143" spans="7:7" x14ac:dyDescent="0.2">
      <c r="G143" s="11"/>
    </row>
    <row r="144" spans="7:7" x14ac:dyDescent="0.2">
      <c r="G144" s="11"/>
    </row>
    <row r="145" spans="7:7" x14ac:dyDescent="0.2">
      <c r="G145" s="11"/>
    </row>
    <row r="146" spans="7:7" x14ac:dyDescent="0.2">
      <c r="G146" s="11"/>
    </row>
    <row r="147" spans="7:7" x14ac:dyDescent="0.2">
      <c r="G147" s="11"/>
    </row>
    <row r="148" spans="7:7" x14ac:dyDescent="0.2">
      <c r="G148" s="11"/>
    </row>
    <row r="149" spans="7:7" x14ac:dyDescent="0.2">
      <c r="G149" s="11"/>
    </row>
    <row r="150" spans="7:7" x14ac:dyDescent="0.2">
      <c r="G150" s="11"/>
    </row>
    <row r="151" spans="7:7" x14ac:dyDescent="0.2">
      <c r="G151" s="11"/>
    </row>
    <row r="152" spans="7:7" x14ac:dyDescent="0.2">
      <c r="G152" s="11"/>
    </row>
    <row r="153" spans="7:7" x14ac:dyDescent="0.2">
      <c r="G153" s="11"/>
    </row>
    <row r="154" spans="7:7" x14ac:dyDescent="0.2">
      <c r="G154" s="11"/>
    </row>
    <row r="155" spans="7:7" x14ac:dyDescent="0.2">
      <c r="G155" s="11"/>
    </row>
    <row r="156" spans="7:7" x14ac:dyDescent="0.2">
      <c r="G156" s="11"/>
    </row>
    <row r="157" spans="7:7" x14ac:dyDescent="0.2">
      <c r="G157" s="11"/>
    </row>
    <row r="158" spans="7:7" x14ac:dyDescent="0.2">
      <c r="G158" s="11"/>
    </row>
    <row r="159" spans="7:7" x14ac:dyDescent="0.2">
      <c r="G159" s="11"/>
    </row>
    <row r="160" spans="7:7" x14ac:dyDescent="0.2">
      <c r="G160" s="11"/>
    </row>
    <row r="161" spans="7:7" x14ac:dyDescent="0.2">
      <c r="G161" s="11"/>
    </row>
    <row r="162" spans="7:7" x14ac:dyDescent="0.2">
      <c r="G162" s="11"/>
    </row>
    <row r="163" spans="7:7" x14ac:dyDescent="0.2">
      <c r="G163" s="11"/>
    </row>
    <row r="164" spans="7:7" x14ac:dyDescent="0.2">
      <c r="G164" s="11"/>
    </row>
    <row r="165" spans="7:7" x14ac:dyDescent="0.2">
      <c r="G165" s="11"/>
    </row>
    <row r="166" spans="7:7" x14ac:dyDescent="0.2">
      <c r="G166" s="11"/>
    </row>
    <row r="167" spans="7:7" x14ac:dyDescent="0.2">
      <c r="G167" s="11"/>
    </row>
    <row r="168" spans="7:7" x14ac:dyDescent="0.2">
      <c r="G168" s="11"/>
    </row>
    <row r="169" spans="7:7" x14ac:dyDescent="0.2">
      <c r="G169" s="11"/>
    </row>
    <row r="170" spans="7:7" x14ac:dyDescent="0.2">
      <c r="G170" s="11"/>
    </row>
    <row r="171" spans="7:7" x14ac:dyDescent="0.2">
      <c r="G171" s="11"/>
    </row>
    <row r="172" spans="7:7" x14ac:dyDescent="0.2">
      <c r="G172" s="11"/>
    </row>
    <row r="173" spans="7:7" x14ac:dyDescent="0.2">
      <c r="G173" s="11"/>
    </row>
    <row r="174" spans="7:7" x14ac:dyDescent="0.2">
      <c r="G174" s="11"/>
    </row>
    <row r="175" spans="7:7" x14ac:dyDescent="0.2">
      <c r="G175" s="11"/>
    </row>
    <row r="176" spans="7:7" x14ac:dyDescent="0.2">
      <c r="G176" s="11"/>
    </row>
    <row r="177" spans="7:7" x14ac:dyDescent="0.2">
      <c r="G177" s="11"/>
    </row>
    <row r="178" spans="7:7" x14ac:dyDescent="0.2">
      <c r="G178" s="11"/>
    </row>
    <row r="179" spans="7:7" x14ac:dyDescent="0.2">
      <c r="G179" s="11"/>
    </row>
    <row r="180" spans="7:7" x14ac:dyDescent="0.2">
      <c r="G180" s="11"/>
    </row>
    <row r="181" spans="7:7" x14ac:dyDescent="0.2">
      <c r="G181" s="11"/>
    </row>
    <row r="182" spans="7:7" x14ac:dyDescent="0.2">
      <c r="G182" s="11"/>
    </row>
    <row r="183" spans="7:7" x14ac:dyDescent="0.2">
      <c r="G183" s="11"/>
    </row>
    <row r="184" spans="7:7" x14ac:dyDescent="0.2">
      <c r="G184" s="11"/>
    </row>
    <row r="185" spans="7:7" x14ac:dyDescent="0.2">
      <c r="G185" s="11"/>
    </row>
    <row r="186" spans="7:7" x14ac:dyDescent="0.2">
      <c r="G186" s="11"/>
    </row>
    <row r="187" spans="7:7" x14ac:dyDescent="0.2">
      <c r="G187" s="11"/>
    </row>
    <row r="188" spans="7:7" x14ac:dyDescent="0.2">
      <c r="G188" s="11"/>
    </row>
    <row r="189" spans="7:7" x14ac:dyDescent="0.2">
      <c r="G189" s="11"/>
    </row>
    <row r="190" spans="7:7" x14ac:dyDescent="0.2">
      <c r="G190" s="11"/>
    </row>
    <row r="191" spans="7:7" x14ac:dyDescent="0.2">
      <c r="G191" s="11"/>
    </row>
    <row r="192" spans="7:7" x14ac:dyDescent="0.2">
      <c r="G192" s="11"/>
    </row>
    <row r="193" spans="7:7" x14ac:dyDescent="0.2">
      <c r="G193" s="11"/>
    </row>
    <row r="194" spans="7:7" x14ac:dyDescent="0.2">
      <c r="G194" s="11"/>
    </row>
    <row r="195" spans="7:7" x14ac:dyDescent="0.2">
      <c r="G195" s="11"/>
    </row>
    <row r="196" spans="7:7" x14ac:dyDescent="0.2">
      <c r="G196" s="11"/>
    </row>
    <row r="197" spans="7:7" x14ac:dyDescent="0.2">
      <c r="G197" s="11"/>
    </row>
    <row r="198" spans="7:7" x14ac:dyDescent="0.2">
      <c r="G198" s="11"/>
    </row>
    <row r="199" spans="7:7" x14ac:dyDescent="0.2">
      <c r="G199" s="11"/>
    </row>
    <row r="200" spans="7:7" x14ac:dyDescent="0.2">
      <c r="G200" s="11"/>
    </row>
    <row r="201" spans="7:7" x14ac:dyDescent="0.2">
      <c r="G201" s="11"/>
    </row>
    <row r="202" spans="7:7" x14ac:dyDescent="0.2">
      <c r="G202" s="11"/>
    </row>
    <row r="203" spans="7:7" x14ac:dyDescent="0.2">
      <c r="G203" s="11"/>
    </row>
    <row r="204" spans="7:7" x14ac:dyDescent="0.2">
      <c r="G204" s="11"/>
    </row>
    <row r="205" spans="7:7" x14ac:dyDescent="0.2">
      <c r="G205" s="11"/>
    </row>
    <row r="206" spans="7:7" x14ac:dyDescent="0.2">
      <c r="G206" s="11"/>
    </row>
    <row r="207" spans="7:7" x14ac:dyDescent="0.2">
      <c r="G207" s="11"/>
    </row>
    <row r="208" spans="7:7" x14ac:dyDescent="0.2">
      <c r="G208" s="11"/>
    </row>
    <row r="209" spans="7:7" x14ac:dyDescent="0.2">
      <c r="G209" s="11"/>
    </row>
    <row r="210" spans="7:7" x14ac:dyDescent="0.2">
      <c r="G210" s="11"/>
    </row>
    <row r="211" spans="7:7" x14ac:dyDescent="0.2">
      <c r="G211" s="11"/>
    </row>
    <row r="212" spans="7:7" x14ac:dyDescent="0.2">
      <c r="G212" s="11"/>
    </row>
    <row r="213" spans="7:7" x14ac:dyDescent="0.2">
      <c r="G213" s="11"/>
    </row>
    <row r="214" spans="7:7" x14ac:dyDescent="0.2">
      <c r="G214" s="11"/>
    </row>
    <row r="215" spans="7:7" x14ac:dyDescent="0.2">
      <c r="G215" s="11"/>
    </row>
    <row r="216" spans="7:7" x14ac:dyDescent="0.2">
      <c r="G216" s="11"/>
    </row>
    <row r="217" spans="7:7" x14ac:dyDescent="0.2">
      <c r="G217" s="11"/>
    </row>
    <row r="218" spans="7:7" x14ac:dyDescent="0.2">
      <c r="G218" s="11"/>
    </row>
    <row r="219" spans="7:7" x14ac:dyDescent="0.2">
      <c r="G219" s="11"/>
    </row>
    <row r="220" spans="7:7" x14ac:dyDescent="0.2">
      <c r="G220" s="11"/>
    </row>
    <row r="221" spans="7:7" x14ac:dyDescent="0.2">
      <c r="G221" s="11"/>
    </row>
    <row r="222" spans="7:7" x14ac:dyDescent="0.2">
      <c r="G222" s="11"/>
    </row>
    <row r="223" spans="7:7" x14ac:dyDescent="0.2">
      <c r="G223" s="11"/>
    </row>
    <row r="224" spans="7:7" x14ac:dyDescent="0.2">
      <c r="G224" s="11"/>
    </row>
    <row r="225" spans="7:7" x14ac:dyDescent="0.2">
      <c r="G225" s="11"/>
    </row>
    <row r="226" spans="7:7" x14ac:dyDescent="0.2">
      <c r="G226" s="11"/>
    </row>
    <row r="227" spans="7:7" x14ac:dyDescent="0.2">
      <c r="G227" s="11"/>
    </row>
    <row r="228" spans="7:7" x14ac:dyDescent="0.2">
      <c r="G228" s="11"/>
    </row>
    <row r="229" spans="7:7" x14ac:dyDescent="0.2">
      <c r="G229" s="11"/>
    </row>
    <row r="230" spans="7:7" x14ac:dyDescent="0.2">
      <c r="G230" s="11"/>
    </row>
    <row r="231" spans="7:7" x14ac:dyDescent="0.2">
      <c r="G231" s="11"/>
    </row>
    <row r="232" spans="7:7" x14ac:dyDescent="0.2">
      <c r="G232" s="11"/>
    </row>
    <row r="233" spans="7:7" x14ac:dyDescent="0.2">
      <c r="G233" s="11"/>
    </row>
    <row r="234" spans="7:7" x14ac:dyDescent="0.2">
      <c r="G234" s="11"/>
    </row>
    <row r="235" spans="7:7" x14ac:dyDescent="0.2">
      <c r="G235" s="11"/>
    </row>
    <row r="236" spans="7:7" x14ac:dyDescent="0.2">
      <c r="G236" s="11"/>
    </row>
    <row r="237" spans="7:7" x14ac:dyDescent="0.2">
      <c r="G237" s="11"/>
    </row>
    <row r="238" spans="7:7" x14ac:dyDescent="0.2">
      <c r="G238" s="11"/>
    </row>
    <row r="239" spans="7:7" x14ac:dyDescent="0.2">
      <c r="G239" s="11"/>
    </row>
    <row r="240" spans="7:7" x14ac:dyDescent="0.2">
      <c r="G240" s="11"/>
    </row>
    <row r="241" spans="7:7" x14ac:dyDescent="0.2">
      <c r="G241" s="11"/>
    </row>
    <row r="242" spans="7:7" x14ac:dyDescent="0.2">
      <c r="G242" s="11"/>
    </row>
    <row r="243" spans="7:7" x14ac:dyDescent="0.2">
      <c r="G243" s="11"/>
    </row>
    <row r="244" spans="7:7" x14ac:dyDescent="0.2">
      <c r="G244" s="11"/>
    </row>
    <row r="245" spans="7:7" x14ac:dyDescent="0.2">
      <c r="G245" s="11"/>
    </row>
    <row r="246" spans="7:7" x14ac:dyDescent="0.2">
      <c r="G246" s="11"/>
    </row>
    <row r="247" spans="7:7" x14ac:dyDescent="0.2">
      <c r="G247" s="11"/>
    </row>
    <row r="248" spans="7:7" x14ac:dyDescent="0.2">
      <c r="G248" s="11"/>
    </row>
    <row r="249" spans="7:7" x14ac:dyDescent="0.2">
      <c r="G249" s="11"/>
    </row>
    <row r="250" spans="7:7" x14ac:dyDescent="0.2">
      <c r="G250" s="11"/>
    </row>
    <row r="251" spans="7:7" x14ac:dyDescent="0.2">
      <c r="G251" s="11"/>
    </row>
    <row r="252" spans="7:7" x14ac:dyDescent="0.2">
      <c r="G252" s="11"/>
    </row>
    <row r="253" spans="7:7" x14ac:dyDescent="0.2">
      <c r="G253" s="11"/>
    </row>
    <row r="254" spans="7:7" x14ac:dyDescent="0.2">
      <c r="G254" s="11"/>
    </row>
    <row r="255" spans="7:7" x14ac:dyDescent="0.2">
      <c r="G255" s="11"/>
    </row>
    <row r="256" spans="7:7" x14ac:dyDescent="0.2">
      <c r="G256" s="11"/>
    </row>
    <row r="257" spans="7:7" x14ac:dyDescent="0.2">
      <c r="G257" s="11"/>
    </row>
    <row r="258" spans="7:7" x14ac:dyDescent="0.2">
      <c r="G258" s="11"/>
    </row>
    <row r="259" spans="7:7" x14ac:dyDescent="0.2">
      <c r="G259" s="11"/>
    </row>
    <row r="260" spans="7:7" x14ac:dyDescent="0.2">
      <c r="G260" s="11"/>
    </row>
    <row r="261" spans="7:7" x14ac:dyDescent="0.2">
      <c r="G261" s="11"/>
    </row>
    <row r="262" spans="7:7" x14ac:dyDescent="0.2">
      <c r="G262" s="11"/>
    </row>
    <row r="263" spans="7:7" x14ac:dyDescent="0.2">
      <c r="G263" s="11"/>
    </row>
    <row r="264" spans="7:7" x14ac:dyDescent="0.2">
      <c r="G264" s="11"/>
    </row>
    <row r="265" spans="7:7" x14ac:dyDescent="0.2">
      <c r="G265" s="11"/>
    </row>
    <row r="266" spans="7:7" x14ac:dyDescent="0.2">
      <c r="G266" s="11"/>
    </row>
    <row r="267" spans="7:7" x14ac:dyDescent="0.2">
      <c r="G267" s="11"/>
    </row>
    <row r="268" spans="7:7" x14ac:dyDescent="0.2">
      <c r="G268" s="11"/>
    </row>
    <row r="269" spans="7:7" x14ac:dyDescent="0.2">
      <c r="G269" s="11"/>
    </row>
    <row r="270" spans="7:7" x14ac:dyDescent="0.2">
      <c r="G270" s="11"/>
    </row>
    <row r="271" spans="7:7" x14ac:dyDescent="0.2">
      <c r="G271" s="11"/>
    </row>
    <row r="272" spans="7:7" x14ac:dyDescent="0.2">
      <c r="G272" s="11"/>
    </row>
    <row r="273" spans="7:7" x14ac:dyDescent="0.2">
      <c r="G273" s="11"/>
    </row>
    <row r="274" spans="7:7" x14ac:dyDescent="0.2">
      <c r="G274" s="11"/>
    </row>
    <row r="275" spans="7:7" x14ac:dyDescent="0.2">
      <c r="G275" s="11"/>
    </row>
    <row r="276" spans="7:7" x14ac:dyDescent="0.2">
      <c r="G276" s="11"/>
    </row>
    <row r="277" spans="7:7" x14ac:dyDescent="0.2">
      <c r="G277" s="11"/>
    </row>
    <row r="278" spans="7:7" x14ac:dyDescent="0.2">
      <c r="G278" s="11"/>
    </row>
    <row r="279" spans="7:7" x14ac:dyDescent="0.2">
      <c r="G279" s="11"/>
    </row>
    <row r="280" spans="7:7" x14ac:dyDescent="0.2">
      <c r="G280" s="11"/>
    </row>
    <row r="281" spans="7:7" x14ac:dyDescent="0.2">
      <c r="G281" s="11"/>
    </row>
    <row r="282" spans="7:7" x14ac:dyDescent="0.2">
      <c r="G282" s="11"/>
    </row>
    <row r="283" spans="7:7" x14ac:dyDescent="0.2">
      <c r="G283" s="11"/>
    </row>
    <row r="284" spans="7:7" x14ac:dyDescent="0.2">
      <c r="G284" s="11"/>
    </row>
    <row r="285" spans="7:7" x14ac:dyDescent="0.2">
      <c r="G285" s="11"/>
    </row>
    <row r="286" spans="7:7" x14ac:dyDescent="0.2">
      <c r="G286" s="11"/>
    </row>
    <row r="287" spans="7:7" x14ac:dyDescent="0.2">
      <c r="G287" s="11"/>
    </row>
    <row r="288" spans="7:7" x14ac:dyDescent="0.2">
      <c r="G288" s="11"/>
    </row>
    <row r="289" spans="7:7" x14ac:dyDescent="0.2">
      <c r="G289" s="11"/>
    </row>
    <row r="290" spans="7:7" x14ac:dyDescent="0.2">
      <c r="G290" s="11"/>
    </row>
    <row r="291" spans="7:7" x14ac:dyDescent="0.2">
      <c r="G291" s="11"/>
    </row>
    <row r="292" spans="7:7" x14ac:dyDescent="0.2">
      <c r="G292" s="11"/>
    </row>
    <row r="293" spans="7:7" x14ac:dyDescent="0.2">
      <c r="G293" s="11"/>
    </row>
    <row r="294" spans="7:7" x14ac:dyDescent="0.2">
      <c r="G294" s="11"/>
    </row>
    <row r="295" spans="7:7" x14ac:dyDescent="0.2">
      <c r="G295" s="11"/>
    </row>
    <row r="296" spans="7:7" x14ac:dyDescent="0.2">
      <c r="G296" s="11"/>
    </row>
    <row r="297" spans="7:7" x14ac:dyDescent="0.2">
      <c r="G297" s="11"/>
    </row>
    <row r="298" spans="7:7" x14ac:dyDescent="0.2">
      <c r="G298" s="11"/>
    </row>
    <row r="299" spans="7:7" x14ac:dyDescent="0.2">
      <c r="G299" s="11"/>
    </row>
    <row r="300" spans="7:7" x14ac:dyDescent="0.2">
      <c r="G300" s="11"/>
    </row>
    <row r="301" spans="7:7" x14ac:dyDescent="0.2">
      <c r="G301" s="11"/>
    </row>
    <row r="302" spans="7:7" x14ac:dyDescent="0.2">
      <c r="G302" s="11"/>
    </row>
    <row r="303" spans="7:7" x14ac:dyDescent="0.2">
      <c r="G303" s="11"/>
    </row>
    <row r="304" spans="7:7" x14ac:dyDescent="0.2">
      <c r="G304" s="11"/>
    </row>
    <row r="305" spans="7:7" x14ac:dyDescent="0.2">
      <c r="G305" s="11"/>
    </row>
    <row r="306" spans="7:7" x14ac:dyDescent="0.2">
      <c r="G306" s="11"/>
    </row>
    <row r="307" spans="7:7" x14ac:dyDescent="0.2">
      <c r="G307" s="11"/>
    </row>
  </sheetData>
  <pageMargins left="0.75" right="0.75" top="1" bottom="1"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307"/>
  <sheetViews>
    <sheetView topLeftCell="I77" workbookViewId="0">
      <selection activeCell="B2" sqref="B2:N92"/>
    </sheetView>
  </sheetViews>
  <sheetFormatPr baseColWidth="10" defaultColWidth="9.140625" defaultRowHeight="12.75" x14ac:dyDescent="0.2"/>
  <cols>
    <col min="1" max="1" width="13.42578125" hidden="1" customWidth="1"/>
    <col min="2" max="2" width="9.42578125" style="4" customWidth="1"/>
    <col min="3" max="3" width="18" style="3" customWidth="1"/>
    <col min="4" max="4" width="8.28515625" style="4" customWidth="1"/>
    <col min="5" max="5" width="9.140625" style="4"/>
    <col min="6" max="6" width="12.85546875" style="4" customWidth="1"/>
    <col min="7" max="7" width="10" style="4" customWidth="1"/>
    <col min="8" max="8" width="63.28515625" style="2" customWidth="1"/>
    <col min="9" max="9" width="11.7109375" style="4" customWidth="1"/>
    <col min="10" max="10" width="16.28515625" style="3" customWidth="1"/>
    <col min="11" max="11" width="16" style="4" customWidth="1"/>
    <col min="12" max="12" width="11" style="4" customWidth="1"/>
    <col min="13" max="13" width="20.5703125" hidden="1" customWidth="1"/>
    <col min="14" max="14" width="20.28515625" customWidth="1"/>
    <col min="15" max="15" width="20.140625" customWidth="1"/>
    <col min="16" max="16" width="13.5703125" bestFit="1" customWidth="1"/>
    <col min="18" max="18" width="19.5703125" customWidth="1"/>
  </cols>
  <sheetData>
    <row r="2" spans="1:156" ht="15.75" x14ac:dyDescent="0.2">
      <c r="B2" s="82" t="s">
        <v>1103</v>
      </c>
      <c r="C2" s="82"/>
      <c r="D2" s="82"/>
      <c r="E2" s="82"/>
      <c r="F2" s="82"/>
      <c r="G2" s="82"/>
      <c r="H2" s="82"/>
      <c r="I2" s="82"/>
      <c r="J2" s="82"/>
      <c r="K2" s="82"/>
      <c r="L2" s="82"/>
      <c r="M2" s="82"/>
      <c r="N2" s="82"/>
    </row>
    <row r="4" spans="1:156" s="7" customFormat="1" ht="102" x14ac:dyDescent="0.2">
      <c r="A4" s="7" t="s">
        <v>641</v>
      </c>
      <c r="B4" s="10" t="s">
        <v>1100</v>
      </c>
      <c r="C4" s="10" t="s">
        <v>1092</v>
      </c>
      <c r="D4" s="79" t="s">
        <v>1091</v>
      </c>
      <c r="E4" s="10" t="s">
        <v>1097</v>
      </c>
      <c r="F4" s="79" t="s">
        <v>1098</v>
      </c>
      <c r="G4" s="79" t="s">
        <v>1093</v>
      </c>
      <c r="H4" s="10" t="s">
        <v>409</v>
      </c>
      <c r="I4" s="10" t="s">
        <v>1094</v>
      </c>
      <c r="J4" s="10" t="s">
        <v>1095</v>
      </c>
      <c r="K4" s="10" t="s">
        <v>1104</v>
      </c>
      <c r="L4" s="10" t="s">
        <v>1096</v>
      </c>
      <c r="M4" s="7" t="s">
        <v>102</v>
      </c>
      <c r="N4" s="10" t="s">
        <v>1099</v>
      </c>
      <c r="O4" s="31" t="s">
        <v>1368</v>
      </c>
      <c r="P4" s="31" t="s">
        <v>1369</v>
      </c>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row>
    <row r="6" spans="1:156" x14ac:dyDescent="0.2">
      <c r="A6" s="1"/>
      <c r="B6" s="12"/>
      <c r="C6" s="13"/>
      <c r="D6" s="12"/>
      <c r="E6" s="12"/>
      <c r="F6" s="12"/>
      <c r="G6" s="19"/>
      <c r="H6" s="16"/>
      <c r="I6" s="12"/>
      <c r="J6" s="13"/>
      <c r="K6" s="12"/>
      <c r="L6" s="12"/>
      <c r="M6" s="21"/>
      <c r="N6" s="21"/>
      <c r="O6" s="21"/>
      <c r="P6" s="21"/>
      <c r="Q6" s="1"/>
      <c r="R6" s="1"/>
      <c r="S6" s="1"/>
      <c r="T6" s="1"/>
      <c r="U6" s="1"/>
      <c r="V6" s="1"/>
      <c r="W6" s="1"/>
    </row>
    <row r="7" spans="1:156" ht="15.75" x14ac:dyDescent="0.2">
      <c r="A7" s="1">
        <v>0</v>
      </c>
      <c r="B7" s="12"/>
      <c r="C7" s="13"/>
      <c r="D7" s="12"/>
      <c r="E7" s="12"/>
      <c r="F7" s="12"/>
      <c r="G7" s="19"/>
      <c r="H7" s="26" t="s">
        <v>965</v>
      </c>
      <c r="I7" s="12"/>
      <c r="J7" s="13"/>
      <c r="K7" s="12"/>
      <c r="L7" s="12"/>
      <c r="M7" s="14"/>
      <c r="N7" s="14"/>
      <c r="O7" s="21"/>
      <c r="P7" s="21"/>
      <c r="Q7" s="1"/>
      <c r="R7" s="1"/>
      <c r="S7" s="1"/>
      <c r="T7" s="1"/>
      <c r="U7" s="1"/>
      <c r="V7" s="1"/>
      <c r="W7" s="1"/>
    </row>
    <row r="8" spans="1:156" ht="31.5" x14ac:dyDescent="0.2">
      <c r="A8" s="1">
        <v>1</v>
      </c>
      <c r="B8" s="12"/>
      <c r="C8" s="13"/>
      <c r="D8" s="12"/>
      <c r="E8" s="12"/>
      <c r="F8" s="12"/>
      <c r="G8" s="19"/>
      <c r="H8" s="26" t="s">
        <v>737</v>
      </c>
      <c r="I8" s="12"/>
      <c r="J8" s="13"/>
      <c r="K8" s="12"/>
      <c r="L8" s="12"/>
      <c r="M8" s="14"/>
      <c r="N8" s="14"/>
      <c r="O8" s="21"/>
      <c r="P8" s="21"/>
      <c r="Q8" s="1"/>
      <c r="R8" s="1"/>
      <c r="S8" s="1"/>
      <c r="T8" s="1"/>
      <c r="U8" s="1"/>
      <c r="V8" s="1"/>
      <c r="W8" s="1"/>
    </row>
    <row r="9" spans="1:156" x14ac:dyDescent="0.2">
      <c r="A9" s="1">
        <v>2</v>
      </c>
      <c r="B9" s="12"/>
      <c r="C9" s="13"/>
      <c r="D9" s="12"/>
      <c r="E9" s="12"/>
      <c r="F9" s="12"/>
      <c r="G9" s="19"/>
      <c r="H9" s="16"/>
      <c r="I9" s="12"/>
      <c r="J9" s="13"/>
      <c r="K9" s="12"/>
      <c r="L9" s="12"/>
      <c r="M9" s="14"/>
      <c r="N9" s="14"/>
      <c r="O9" s="21"/>
      <c r="P9" s="21"/>
      <c r="Q9" s="1"/>
      <c r="R9" s="1"/>
      <c r="S9" s="1"/>
      <c r="T9" s="1"/>
      <c r="U9" s="1"/>
      <c r="V9" s="1"/>
      <c r="W9" s="1"/>
    </row>
    <row r="10" spans="1:156" x14ac:dyDescent="0.2">
      <c r="A10" s="1">
        <v>3</v>
      </c>
      <c r="B10" s="12" t="s">
        <v>301</v>
      </c>
      <c r="C10" s="13"/>
      <c r="D10" s="12"/>
      <c r="E10" s="12"/>
      <c r="F10" s="12"/>
      <c r="G10" s="19"/>
      <c r="H10" s="20" t="s">
        <v>981</v>
      </c>
      <c r="I10" s="12"/>
      <c r="J10" s="13"/>
      <c r="K10" s="12"/>
      <c r="L10" s="12"/>
      <c r="M10" s="17">
        <v>13762250932</v>
      </c>
      <c r="N10" s="17">
        <f>+N11</f>
        <v>15314400000</v>
      </c>
      <c r="O10" s="21"/>
      <c r="P10" s="21"/>
      <c r="Q10" s="1"/>
      <c r="R10" s="1"/>
      <c r="S10" s="1"/>
      <c r="T10" s="1"/>
      <c r="U10" s="1"/>
      <c r="V10" s="1"/>
      <c r="W10" s="1"/>
    </row>
    <row r="11" spans="1:156" ht="25.5" x14ac:dyDescent="0.2">
      <c r="A11" s="1">
        <v>4</v>
      </c>
      <c r="B11" s="12" t="s">
        <v>114</v>
      </c>
      <c r="C11" s="13"/>
      <c r="D11" s="12"/>
      <c r="E11" s="12"/>
      <c r="F11" s="12"/>
      <c r="G11" s="19"/>
      <c r="H11" s="20" t="s">
        <v>457</v>
      </c>
      <c r="I11" s="12"/>
      <c r="J11" s="13"/>
      <c r="K11" s="12"/>
      <c r="L11" s="12"/>
      <c r="M11" s="17">
        <v>13362250932</v>
      </c>
      <c r="N11" s="17">
        <f>+N13</f>
        <v>15314400000</v>
      </c>
      <c r="O11" s="21"/>
      <c r="P11" s="21"/>
      <c r="Q11" s="1"/>
      <c r="R11" s="1"/>
      <c r="S11" s="1"/>
      <c r="T11" s="1"/>
      <c r="U11" s="1"/>
      <c r="V11" s="1"/>
      <c r="W11" s="1"/>
    </row>
    <row r="12" spans="1:156" ht="25.5" x14ac:dyDescent="0.2">
      <c r="A12" s="1">
        <v>5</v>
      </c>
      <c r="B12" s="12"/>
      <c r="C12" s="13"/>
      <c r="D12" s="12"/>
      <c r="E12" s="18">
        <v>257</v>
      </c>
      <c r="F12" s="12" t="s">
        <v>268</v>
      </c>
      <c r="G12" s="19"/>
      <c r="H12" s="16" t="s">
        <v>155</v>
      </c>
      <c r="I12" s="18">
        <v>116</v>
      </c>
      <c r="J12" s="13" t="s">
        <v>286</v>
      </c>
      <c r="K12" s="18">
        <v>116</v>
      </c>
      <c r="L12" s="12" t="s">
        <v>1167</v>
      </c>
      <c r="M12" s="14"/>
      <c r="N12" s="14"/>
      <c r="O12" s="21"/>
      <c r="P12" s="21"/>
      <c r="Q12" s="1"/>
      <c r="R12" s="1"/>
      <c r="S12" s="1"/>
      <c r="T12" s="1"/>
      <c r="U12" s="1"/>
      <c r="V12" s="1"/>
      <c r="W12" s="1"/>
    </row>
    <row r="13" spans="1:156" x14ac:dyDescent="0.2">
      <c r="A13" s="1">
        <v>6</v>
      </c>
      <c r="B13" s="12" t="s">
        <v>857</v>
      </c>
      <c r="C13" s="13"/>
      <c r="D13" s="12"/>
      <c r="E13" s="12"/>
      <c r="F13" s="12"/>
      <c r="G13" s="19"/>
      <c r="H13" s="20" t="s">
        <v>288</v>
      </c>
      <c r="I13" s="12"/>
      <c r="J13" s="13"/>
      <c r="K13" s="12"/>
      <c r="L13" s="12"/>
      <c r="M13" s="17">
        <v>13362250932</v>
      </c>
      <c r="N13" s="17">
        <f>+N21+N24+N31+N27+N29</f>
        <v>15314400000</v>
      </c>
      <c r="O13" s="21"/>
      <c r="P13" s="21"/>
      <c r="Q13" s="1"/>
      <c r="R13" s="1"/>
      <c r="S13" s="1"/>
      <c r="T13" s="1"/>
      <c r="U13" s="1"/>
      <c r="V13" s="1"/>
      <c r="W13" s="1"/>
    </row>
    <row r="14" spans="1:156" ht="25.5" x14ac:dyDescent="0.2">
      <c r="A14" s="1">
        <v>7</v>
      </c>
      <c r="B14" s="12"/>
      <c r="C14" s="13"/>
      <c r="D14" s="12" t="s">
        <v>410</v>
      </c>
      <c r="E14" s="18">
        <v>258</v>
      </c>
      <c r="F14" s="12" t="s">
        <v>1080</v>
      </c>
      <c r="G14" s="19"/>
      <c r="H14" s="16" t="s">
        <v>817</v>
      </c>
      <c r="I14" s="18">
        <v>500</v>
      </c>
      <c r="J14" s="13" t="s">
        <v>951</v>
      </c>
      <c r="K14" s="18">
        <v>160</v>
      </c>
      <c r="L14" s="12" t="s">
        <v>1367</v>
      </c>
      <c r="M14" s="14"/>
      <c r="N14" s="14"/>
      <c r="O14" s="21"/>
      <c r="P14" s="21"/>
      <c r="Q14" s="1"/>
      <c r="R14" s="1"/>
      <c r="S14" s="1"/>
      <c r="T14" s="1"/>
      <c r="U14" s="1"/>
      <c r="V14" s="1"/>
      <c r="W14" s="1"/>
    </row>
    <row r="15" spans="1:156" ht="51" x14ac:dyDescent="0.2">
      <c r="A15" s="1"/>
      <c r="B15" s="12"/>
      <c r="C15" s="13"/>
      <c r="D15" s="12" t="s">
        <v>574</v>
      </c>
      <c r="E15" s="12">
        <v>268</v>
      </c>
      <c r="F15" s="18" t="s">
        <v>1116</v>
      </c>
      <c r="G15" s="12"/>
      <c r="H15" s="16" t="s">
        <v>1147</v>
      </c>
      <c r="I15" s="16">
        <v>21</v>
      </c>
      <c r="J15" s="18" t="s">
        <v>873</v>
      </c>
      <c r="K15" s="18">
        <v>2</v>
      </c>
      <c r="L15" s="12" t="s">
        <v>1180</v>
      </c>
      <c r="M15" s="14"/>
      <c r="N15" s="14"/>
      <c r="O15" s="21"/>
      <c r="P15" s="21"/>
      <c r="Q15" s="1"/>
      <c r="R15" s="1"/>
      <c r="S15" s="1"/>
      <c r="T15" s="1"/>
      <c r="U15" s="1"/>
      <c r="V15" s="1"/>
      <c r="W15" s="1"/>
    </row>
    <row r="16" spans="1:156" ht="51" x14ac:dyDescent="0.2">
      <c r="A16" s="1">
        <v>7</v>
      </c>
      <c r="B16" s="12"/>
      <c r="C16" s="13"/>
      <c r="D16" s="12" t="s">
        <v>574</v>
      </c>
      <c r="E16" s="12">
        <v>261</v>
      </c>
      <c r="F16" s="18" t="s">
        <v>1080</v>
      </c>
      <c r="G16" s="12"/>
      <c r="H16" s="43" t="s">
        <v>899</v>
      </c>
      <c r="I16" s="16">
        <v>6</v>
      </c>
      <c r="J16" s="18" t="s">
        <v>765</v>
      </c>
      <c r="K16" s="18"/>
      <c r="L16" s="12"/>
      <c r="M16" s="14"/>
      <c r="N16" s="14"/>
      <c r="O16" s="21"/>
      <c r="P16" s="21"/>
      <c r="Q16" s="1"/>
      <c r="R16" s="1"/>
      <c r="S16" s="1"/>
      <c r="T16" s="1"/>
      <c r="U16" s="1"/>
      <c r="V16" s="1"/>
      <c r="W16" s="1"/>
    </row>
    <row r="17" spans="1:23" ht="25.5" x14ac:dyDescent="0.2">
      <c r="A17" s="1">
        <v>7</v>
      </c>
      <c r="B17" s="12"/>
      <c r="C17" s="13"/>
      <c r="D17" s="12" t="s">
        <v>1037</v>
      </c>
      <c r="E17" s="12">
        <v>263</v>
      </c>
      <c r="F17" s="18" t="s">
        <v>1080</v>
      </c>
      <c r="G17" s="12"/>
      <c r="H17" s="16" t="s">
        <v>135</v>
      </c>
      <c r="I17" s="16">
        <v>50</v>
      </c>
      <c r="J17" s="18" t="s">
        <v>130</v>
      </c>
      <c r="K17" s="18"/>
      <c r="L17" s="12"/>
      <c r="M17" s="14"/>
      <c r="N17" s="14"/>
      <c r="O17" s="21"/>
      <c r="P17" s="21"/>
      <c r="Q17" s="1"/>
      <c r="R17" s="1"/>
      <c r="S17" s="1"/>
      <c r="T17" s="1"/>
      <c r="U17" s="1"/>
      <c r="V17" s="1"/>
      <c r="W17" s="1"/>
    </row>
    <row r="18" spans="1:23" ht="38.25" x14ac:dyDescent="0.2">
      <c r="A18" s="1"/>
      <c r="B18" s="12"/>
      <c r="C18" s="13"/>
      <c r="D18" s="12"/>
      <c r="E18" s="12">
        <v>260</v>
      </c>
      <c r="F18" s="18" t="s">
        <v>1116</v>
      </c>
      <c r="G18" s="12"/>
      <c r="H18" s="16" t="s">
        <v>1150</v>
      </c>
      <c r="I18" s="16">
        <v>1</v>
      </c>
      <c r="J18" s="18" t="s">
        <v>1151</v>
      </c>
      <c r="K18" s="18"/>
      <c r="L18" s="12"/>
      <c r="M18" s="14"/>
      <c r="N18" s="14"/>
      <c r="O18" s="21"/>
      <c r="P18" s="21"/>
      <c r="Q18" s="1"/>
      <c r="R18" s="1"/>
      <c r="S18" s="1"/>
      <c r="T18" s="1"/>
      <c r="U18" s="1"/>
      <c r="V18" s="1"/>
      <c r="W18" s="1"/>
    </row>
    <row r="19" spans="1:23" ht="51" x14ac:dyDescent="0.2">
      <c r="A19" s="1"/>
      <c r="B19" s="12"/>
      <c r="C19" s="13"/>
      <c r="D19" s="12"/>
      <c r="E19" s="12">
        <v>259</v>
      </c>
      <c r="F19" s="18" t="s">
        <v>1116</v>
      </c>
      <c r="G19" s="12"/>
      <c r="H19" s="16" t="s">
        <v>1148</v>
      </c>
      <c r="I19" s="16">
        <v>1</v>
      </c>
      <c r="J19" s="18" t="s">
        <v>257</v>
      </c>
      <c r="K19" s="18"/>
      <c r="L19" s="12"/>
      <c r="M19" s="14"/>
      <c r="N19" s="14"/>
      <c r="O19" s="21"/>
      <c r="P19" s="21"/>
      <c r="Q19" s="1"/>
      <c r="R19" s="1"/>
      <c r="S19" s="1"/>
      <c r="T19" s="1"/>
      <c r="U19" s="1"/>
      <c r="V19" s="1"/>
      <c r="W19" s="1"/>
    </row>
    <row r="20" spans="1:23" ht="51" x14ac:dyDescent="0.2">
      <c r="A20" s="1"/>
      <c r="B20" s="12"/>
      <c r="C20" s="13"/>
      <c r="D20" s="12"/>
      <c r="E20" s="12">
        <v>262</v>
      </c>
      <c r="F20" s="18" t="s">
        <v>1116</v>
      </c>
      <c r="G20" s="12"/>
      <c r="H20" s="16" t="s">
        <v>1149</v>
      </c>
      <c r="I20" s="16">
        <v>25</v>
      </c>
      <c r="J20" s="18" t="s">
        <v>440</v>
      </c>
      <c r="K20" s="18"/>
      <c r="L20" s="12"/>
      <c r="M20" s="14"/>
      <c r="N20" s="14"/>
      <c r="O20" s="21"/>
      <c r="P20" s="21"/>
      <c r="Q20" s="1"/>
      <c r="R20" s="1"/>
      <c r="S20" s="1"/>
      <c r="T20" s="1"/>
      <c r="U20" s="1"/>
      <c r="V20" s="1"/>
      <c r="W20" s="1"/>
    </row>
    <row r="21" spans="1:23" ht="51" x14ac:dyDescent="0.2">
      <c r="A21" s="1">
        <v>8</v>
      </c>
      <c r="B21" s="12"/>
      <c r="C21" s="13" t="s">
        <v>10</v>
      </c>
      <c r="D21" s="12"/>
      <c r="E21" s="12"/>
      <c r="F21" s="12"/>
      <c r="G21" s="19">
        <v>295947</v>
      </c>
      <c r="H21" s="16" t="s">
        <v>688</v>
      </c>
      <c r="I21" s="12"/>
      <c r="J21" s="13"/>
      <c r="K21" s="12"/>
      <c r="L21" s="12"/>
      <c r="M21" s="21">
        <v>6000000000</v>
      </c>
      <c r="N21" s="21">
        <f>+N22+N23</f>
        <v>15177000000</v>
      </c>
      <c r="O21" s="21">
        <f t="shared" ref="O21:Q21" si="0">+O22</f>
        <v>6177000000</v>
      </c>
      <c r="P21" s="21">
        <f t="shared" si="0"/>
        <v>9000000000</v>
      </c>
      <c r="Q21" s="21">
        <f t="shared" si="0"/>
        <v>0</v>
      </c>
      <c r="R21" s="1"/>
      <c r="S21" s="1"/>
      <c r="T21" s="1"/>
      <c r="U21" s="1"/>
      <c r="V21" s="1"/>
      <c r="W21" s="1"/>
    </row>
    <row r="22" spans="1:23" x14ac:dyDescent="0.2">
      <c r="A22" s="1">
        <v>9</v>
      </c>
      <c r="B22" s="12"/>
      <c r="C22" s="13"/>
      <c r="D22" s="12"/>
      <c r="E22" s="12"/>
      <c r="F22" s="12"/>
      <c r="G22" s="19"/>
      <c r="H22" s="44" t="s">
        <v>785</v>
      </c>
      <c r="I22" s="12"/>
      <c r="J22" s="13"/>
      <c r="K22" s="12"/>
      <c r="L22" s="12"/>
      <c r="M22" s="21">
        <v>6000000000</v>
      </c>
      <c r="N22" s="21">
        <v>15177000000</v>
      </c>
      <c r="O22" s="21">
        <v>6177000000</v>
      </c>
      <c r="P22" s="21">
        <v>9000000000</v>
      </c>
      <c r="Q22" s="1"/>
      <c r="R22" s="1">
        <f t="shared" ref="R22:R82" si="1">SUM(O22:Q22)</f>
        <v>15177000000</v>
      </c>
      <c r="S22" s="1"/>
      <c r="T22" s="1"/>
      <c r="U22" s="1"/>
      <c r="V22" s="1"/>
      <c r="W22" s="1"/>
    </row>
    <row r="23" spans="1:23" x14ac:dyDescent="0.2">
      <c r="A23" s="1"/>
      <c r="B23" s="12"/>
      <c r="C23" s="13"/>
      <c r="D23" s="12"/>
      <c r="E23" s="12"/>
      <c r="F23" s="12"/>
      <c r="G23" s="19"/>
      <c r="H23" s="44" t="s">
        <v>835</v>
      </c>
      <c r="I23" s="12"/>
      <c r="J23" s="13"/>
      <c r="K23" s="12"/>
      <c r="L23" s="12"/>
      <c r="M23" s="21"/>
      <c r="N23" s="21">
        <v>0</v>
      </c>
      <c r="O23" s="21"/>
      <c r="P23" s="21"/>
      <c r="Q23" s="1"/>
      <c r="R23" s="1"/>
      <c r="S23" s="1"/>
      <c r="T23" s="1"/>
      <c r="U23" s="1"/>
      <c r="V23" s="1"/>
      <c r="W23" s="1"/>
    </row>
    <row r="24" spans="1:23" ht="38.25" x14ac:dyDescent="0.2">
      <c r="A24" s="1">
        <v>8</v>
      </c>
      <c r="B24" s="12"/>
      <c r="C24" s="13" t="s">
        <v>10</v>
      </c>
      <c r="D24" s="12"/>
      <c r="E24" s="12"/>
      <c r="F24" s="12"/>
      <c r="G24" s="19">
        <v>296111</v>
      </c>
      <c r="H24" s="16" t="s">
        <v>322</v>
      </c>
      <c r="I24" s="12"/>
      <c r="J24" s="13"/>
      <c r="K24" s="12"/>
      <c r="L24" s="12"/>
      <c r="M24" s="21">
        <v>2362250932</v>
      </c>
      <c r="N24" s="21">
        <f>+N25+N26</f>
        <v>0</v>
      </c>
      <c r="O24" s="21">
        <f t="shared" ref="O24:Q24" si="2">+O25+O26</f>
        <v>0</v>
      </c>
      <c r="P24" s="21">
        <f t="shared" si="2"/>
        <v>0</v>
      </c>
      <c r="Q24" s="21">
        <f t="shared" si="2"/>
        <v>0</v>
      </c>
      <c r="R24" s="1"/>
      <c r="S24" s="1"/>
      <c r="T24" s="1"/>
      <c r="U24" s="1"/>
      <c r="V24" s="1"/>
      <c r="W24" s="1"/>
    </row>
    <row r="25" spans="1:23" x14ac:dyDescent="0.2">
      <c r="A25" s="1">
        <v>9</v>
      </c>
      <c r="B25" s="12"/>
      <c r="C25" s="13"/>
      <c r="D25" s="12"/>
      <c r="E25" s="12"/>
      <c r="F25" s="12"/>
      <c r="G25" s="19"/>
      <c r="H25" s="44" t="s">
        <v>785</v>
      </c>
      <c r="I25" s="12"/>
      <c r="J25" s="13"/>
      <c r="K25" s="12"/>
      <c r="L25" s="12"/>
      <c r="M25" s="21">
        <v>1416250932</v>
      </c>
      <c r="N25" s="21">
        <v>0</v>
      </c>
      <c r="O25" s="21"/>
      <c r="P25" s="21"/>
      <c r="Q25" s="1"/>
      <c r="R25" s="1">
        <f t="shared" si="1"/>
        <v>0</v>
      </c>
      <c r="S25" s="1"/>
      <c r="T25" s="1"/>
      <c r="U25" s="1"/>
      <c r="V25" s="1"/>
      <c r="W25" s="1"/>
    </row>
    <row r="26" spans="1:23" x14ac:dyDescent="0.2">
      <c r="A26" s="1">
        <v>9</v>
      </c>
      <c r="B26" s="12"/>
      <c r="C26" s="13"/>
      <c r="D26" s="12"/>
      <c r="E26" s="12"/>
      <c r="F26" s="12"/>
      <c r="G26" s="19"/>
      <c r="H26" s="44" t="s">
        <v>835</v>
      </c>
      <c r="I26" s="12"/>
      <c r="J26" s="13"/>
      <c r="K26" s="12"/>
      <c r="L26" s="12"/>
      <c r="M26" s="21">
        <v>946000000</v>
      </c>
      <c r="N26" s="21">
        <v>0</v>
      </c>
      <c r="O26" s="21"/>
      <c r="P26" s="21"/>
      <c r="Q26" s="1"/>
      <c r="R26" s="1">
        <f t="shared" si="1"/>
        <v>0</v>
      </c>
      <c r="S26" s="1"/>
      <c r="T26" s="1"/>
      <c r="U26" s="1"/>
      <c r="V26" s="1"/>
      <c r="W26" s="1"/>
    </row>
    <row r="27" spans="1:23" ht="38.25" x14ac:dyDescent="0.2">
      <c r="A27" s="1"/>
      <c r="B27" s="12"/>
      <c r="C27" s="13"/>
      <c r="D27" s="12"/>
      <c r="E27" s="12"/>
      <c r="F27" s="12"/>
      <c r="G27" s="19">
        <v>296088</v>
      </c>
      <c r="H27" s="16" t="s">
        <v>13</v>
      </c>
      <c r="I27" s="12"/>
      <c r="J27" s="13"/>
      <c r="K27" s="12"/>
      <c r="L27" s="12"/>
      <c r="M27" s="21"/>
      <c r="N27" s="21">
        <f>+N28</f>
        <v>0</v>
      </c>
      <c r="O27" s="21"/>
      <c r="P27" s="21"/>
      <c r="Q27" s="1"/>
      <c r="R27" s="1"/>
      <c r="S27" s="1"/>
      <c r="T27" s="1"/>
      <c r="U27" s="1"/>
      <c r="V27" s="1"/>
      <c r="W27" s="1"/>
    </row>
    <row r="28" spans="1:23" x14ac:dyDescent="0.2">
      <c r="A28" s="1"/>
      <c r="B28" s="12"/>
      <c r="C28" s="13"/>
      <c r="D28" s="12"/>
      <c r="E28" s="12"/>
      <c r="F28" s="12"/>
      <c r="G28" s="19"/>
      <c r="H28" s="44" t="s">
        <v>835</v>
      </c>
      <c r="I28" s="12"/>
      <c r="J28" s="13"/>
      <c r="K28" s="12"/>
      <c r="L28" s="12"/>
      <c r="M28" s="21"/>
      <c r="N28" s="21">
        <v>0</v>
      </c>
      <c r="O28" s="21"/>
      <c r="P28" s="21"/>
      <c r="Q28" s="1"/>
      <c r="R28" s="1"/>
      <c r="S28" s="1"/>
      <c r="T28" s="1"/>
      <c r="U28" s="1"/>
      <c r="V28" s="1"/>
      <c r="W28" s="1"/>
    </row>
    <row r="29" spans="1:23" ht="38.25" x14ac:dyDescent="0.2">
      <c r="A29" s="1"/>
      <c r="B29" s="12"/>
      <c r="C29" s="13"/>
      <c r="D29" s="12"/>
      <c r="E29" s="12"/>
      <c r="F29" s="12"/>
      <c r="G29" s="19">
        <v>286820</v>
      </c>
      <c r="H29" s="16" t="s">
        <v>1152</v>
      </c>
      <c r="I29" s="12"/>
      <c r="J29" s="13"/>
      <c r="K29" s="12"/>
      <c r="L29" s="12"/>
      <c r="M29" s="21"/>
      <c r="N29" s="21">
        <f>+N30</f>
        <v>0</v>
      </c>
      <c r="O29" s="21"/>
      <c r="P29" s="21"/>
      <c r="Q29" s="1"/>
      <c r="R29" s="1"/>
      <c r="S29" s="1"/>
      <c r="T29" s="1"/>
      <c r="U29" s="1"/>
      <c r="V29" s="1"/>
      <c r="W29" s="1"/>
    </row>
    <row r="30" spans="1:23" x14ac:dyDescent="0.2">
      <c r="A30" s="1"/>
      <c r="B30" s="12"/>
      <c r="C30" s="13"/>
      <c r="D30" s="12"/>
      <c r="E30" s="12"/>
      <c r="F30" s="12"/>
      <c r="G30" s="19"/>
      <c r="H30" s="44" t="s">
        <v>835</v>
      </c>
      <c r="I30" s="12"/>
      <c r="J30" s="13"/>
      <c r="K30" s="12"/>
      <c r="L30" s="12"/>
      <c r="M30" s="21"/>
      <c r="N30" s="21">
        <v>0</v>
      </c>
      <c r="O30" s="21"/>
      <c r="P30" s="21"/>
      <c r="Q30" s="1"/>
      <c r="R30" s="1"/>
      <c r="S30" s="1"/>
      <c r="T30" s="1"/>
      <c r="U30" s="1"/>
      <c r="V30" s="1"/>
      <c r="W30" s="1"/>
    </row>
    <row r="31" spans="1:23" ht="63.75" x14ac:dyDescent="0.2">
      <c r="A31" s="1">
        <v>8</v>
      </c>
      <c r="B31" s="12"/>
      <c r="C31" s="13" t="s">
        <v>10</v>
      </c>
      <c r="D31" s="12"/>
      <c r="E31" s="12"/>
      <c r="F31" s="12"/>
      <c r="G31" s="19">
        <v>296100</v>
      </c>
      <c r="H31" s="27" t="s">
        <v>936</v>
      </c>
      <c r="I31" s="12"/>
      <c r="J31" s="13"/>
      <c r="K31" s="12"/>
      <c r="L31" s="12"/>
      <c r="M31" s="21">
        <v>5000000000</v>
      </c>
      <c r="N31" s="21">
        <f>+N32</f>
        <v>137400000</v>
      </c>
      <c r="O31" s="21">
        <f t="shared" ref="O31:Q31" si="3">+O32</f>
        <v>0</v>
      </c>
      <c r="P31" s="21">
        <f t="shared" si="3"/>
        <v>0</v>
      </c>
      <c r="Q31" s="21">
        <f t="shared" si="3"/>
        <v>0</v>
      </c>
      <c r="R31" s="1"/>
      <c r="S31" s="1"/>
      <c r="T31" s="1"/>
      <c r="U31" s="1"/>
      <c r="V31" s="1"/>
      <c r="W31" s="1"/>
    </row>
    <row r="32" spans="1:23" x14ac:dyDescent="0.2">
      <c r="A32" s="1">
        <v>9</v>
      </c>
      <c r="B32" s="12"/>
      <c r="C32" s="13"/>
      <c r="D32" s="12"/>
      <c r="E32" s="12"/>
      <c r="F32" s="12"/>
      <c r="G32" s="19"/>
      <c r="H32" s="44" t="s">
        <v>835</v>
      </c>
      <c r="I32" s="12"/>
      <c r="J32" s="13"/>
      <c r="K32" s="12"/>
      <c r="L32" s="12"/>
      <c r="M32" s="21">
        <v>5000000000</v>
      </c>
      <c r="N32" s="21">
        <v>137400000</v>
      </c>
      <c r="O32" s="21"/>
      <c r="P32" s="21"/>
      <c r="Q32" s="1"/>
      <c r="R32" s="1">
        <f t="shared" si="1"/>
        <v>0</v>
      </c>
      <c r="S32" s="1"/>
      <c r="T32" s="1"/>
      <c r="U32" s="1"/>
      <c r="V32" s="1"/>
      <c r="W32" s="1"/>
    </row>
    <row r="33" spans="1:16384" x14ac:dyDescent="0.2">
      <c r="A33" s="1"/>
      <c r="B33" s="12"/>
      <c r="C33" s="13"/>
      <c r="D33" s="12"/>
      <c r="E33" s="12"/>
      <c r="F33" s="12"/>
      <c r="G33" s="19"/>
      <c r="H33" s="16"/>
      <c r="I33" s="12"/>
      <c r="J33" s="13"/>
      <c r="K33" s="12"/>
      <c r="L33" s="12"/>
      <c r="M33" s="21"/>
      <c r="N33" s="21"/>
      <c r="O33" s="21"/>
      <c r="P33" s="21"/>
      <c r="Q33" s="1"/>
      <c r="R33" s="1"/>
      <c r="S33" s="1"/>
      <c r="T33" s="1"/>
      <c r="U33" s="1"/>
      <c r="V33" s="1"/>
      <c r="W33" s="1"/>
    </row>
    <row r="34" spans="1:16384" ht="25.5" x14ac:dyDescent="0.2">
      <c r="A34" s="1">
        <v>3</v>
      </c>
      <c r="B34" s="12" t="s">
        <v>422</v>
      </c>
      <c r="C34" s="13"/>
      <c r="D34" s="12"/>
      <c r="E34" s="12"/>
      <c r="F34" s="12"/>
      <c r="G34" s="19"/>
      <c r="H34" s="20" t="s">
        <v>381</v>
      </c>
      <c r="I34" s="12"/>
      <c r="J34" s="13"/>
      <c r="K34" s="12"/>
      <c r="L34" s="12"/>
      <c r="M34" s="17">
        <v>122429919668</v>
      </c>
      <c r="N34" s="17">
        <f>+N35</f>
        <v>40165071443</v>
      </c>
      <c r="O34" s="21"/>
      <c r="P34" s="21"/>
      <c r="Q34" s="1"/>
      <c r="R34" s="1"/>
      <c r="S34" s="1"/>
      <c r="T34" s="1"/>
      <c r="U34" s="1"/>
      <c r="V34" s="1"/>
      <c r="W34" s="1"/>
    </row>
    <row r="35" spans="1:16384" ht="25.5" x14ac:dyDescent="0.2">
      <c r="A35" s="1">
        <v>4</v>
      </c>
      <c r="B35" s="12" t="s">
        <v>285</v>
      </c>
      <c r="C35" s="13"/>
      <c r="D35" s="12"/>
      <c r="E35" s="12"/>
      <c r="F35" s="12"/>
      <c r="G35" s="19"/>
      <c r="H35" s="20" t="s">
        <v>217</v>
      </c>
      <c r="I35" s="12"/>
      <c r="J35" s="13"/>
      <c r="K35" s="12"/>
      <c r="L35" s="12"/>
      <c r="M35" s="17">
        <v>122429919668</v>
      </c>
      <c r="N35" s="17">
        <f>+N39+N70</f>
        <v>40165071443</v>
      </c>
      <c r="O35" s="21"/>
      <c r="P35" s="21"/>
      <c r="Q35" s="1"/>
      <c r="R35" s="1"/>
      <c r="S35" s="1"/>
      <c r="T35" s="1"/>
      <c r="U35" s="1"/>
      <c r="V35" s="1"/>
      <c r="W35" s="1"/>
    </row>
    <row r="36" spans="1:16384" ht="38.25" x14ac:dyDescent="0.2">
      <c r="A36" s="1">
        <v>5</v>
      </c>
      <c r="B36" s="12"/>
      <c r="C36" s="13"/>
      <c r="D36" s="12"/>
      <c r="E36" s="18">
        <v>450</v>
      </c>
      <c r="F36" s="12" t="s">
        <v>268</v>
      </c>
      <c r="G36" s="19"/>
      <c r="H36" s="16" t="s">
        <v>626</v>
      </c>
      <c r="I36" s="18">
        <v>3</v>
      </c>
      <c r="J36" s="13" t="s">
        <v>211</v>
      </c>
      <c r="K36" s="18"/>
      <c r="L36" s="12"/>
      <c r="M36" s="14"/>
      <c r="N36" s="14"/>
      <c r="O36" s="21"/>
      <c r="P36" s="21"/>
      <c r="Q36" s="1"/>
      <c r="R36" s="1"/>
      <c r="S36" s="1"/>
      <c r="T36" s="1"/>
      <c r="U36" s="1"/>
      <c r="V36" s="1"/>
      <c r="W36" s="1"/>
    </row>
    <row r="37" spans="1:16384" ht="38.25" x14ac:dyDescent="0.2">
      <c r="A37" s="1">
        <v>5</v>
      </c>
      <c r="B37" s="12"/>
      <c r="C37" s="13"/>
      <c r="D37" s="12"/>
      <c r="E37" s="18">
        <v>449</v>
      </c>
      <c r="F37" s="12" t="s">
        <v>268</v>
      </c>
      <c r="G37" s="19"/>
      <c r="H37" s="16" t="s">
        <v>863</v>
      </c>
      <c r="I37" s="18">
        <v>20</v>
      </c>
      <c r="J37" s="13" t="s">
        <v>440</v>
      </c>
      <c r="K37" s="18"/>
      <c r="L37" s="12"/>
      <c r="M37" s="14"/>
      <c r="N37" s="14"/>
      <c r="O37" s="21"/>
      <c r="P37" s="21"/>
      <c r="Q37" s="1"/>
      <c r="R37" s="1"/>
      <c r="S37" s="1"/>
      <c r="T37" s="1"/>
      <c r="U37" s="1"/>
      <c r="V37" s="1"/>
      <c r="W37" s="1"/>
    </row>
    <row r="38" spans="1:16384" ht="25.5" x14ac:dyDescent="0.2">
      <c r="A38" s="1">
        <v>5</v>
      </c>
      <c r="B38" s="12"/>
      <c r="C38" s="13"/>
      <c r="D38" s="12"/>
      <c r="E38" s="18">
        <v>257</v>
      </c>
      <c r="F38" s="12" t="s">
        <v>268</v>
      </c>
      <c r="G38" s="19"/>
      <c r="H38" s="16" t="s">
        <v>155</v>
      </c>
      <c r="I38" s="18">
        <v>116</v>
      </c>
      <c r="J38" s="13" t="s">
        <v>286</v>
      </c>
      <c r="K38" s="18"/>
      <c r="L38" s="12"/>
      <c r="M38" s="14"/>
      <c r="N38" s="14"/>
      <c r="O38" s="21"/>
      <c r="P38" s="21"/>
      <c r="Q38" s="1"/>
      <c r="R38" s="1"/>
      <c r="S38" s="1"/>
      <c r="T38" s="1"/>
      <c r="U38" s="1"/>
      <c r="V38" s="1"/>
      <c r="W38" s="1"/>
    </row>
    <row r="39" spans="1:16384" x14ac:dyDescent="0.2">
      <c r="A39" s="1">
        <v>6</v>
      </c>
      <c r="B39" s="12" t="s">
        <v>857</v>
      </c>
      <c r="C39" s="13"/>
      <c r="D39" s="12"/>
      <c r="E39" s="12"/>
      <c r="F39" s="12"/>
      <c r="G39" s="19"/>
      <c r="H39" s="20" t="s">
        <v>287</v>
      </c>
      <c r="I39" s="12"/>
      <c r="J39" s="13"/>
      <c r="K39" s="12"/>
      <c r="L39" s="12"/>
      <c r="M39" s="17">
        <v>121429919668</v>
      </c>
      <c r="N39" s="17">
        <f>+N50+N52+N54+N60+N62+N64+N67</f>
        <v>40165071443</v>
      </c>
      <c r="O39" s="21"/>
      <c r="P39" s="21"/>
      <c r="Q39" s="1"/>
      <c r="R39" s="1"/>
      <c r="S39" s="1"/>
      <c r="T39" s="1"/>
      <c r="U39" s="1"/>
      <c r="V39" s="1"/>
      <c r="W39" s="1"/>
    </row>
    <row r="40" spans="1:16384" ht="25.5" x14ac:dyDescent="0.2">
      <c r="A40" s="1">
        <v>7</v>
      </c>
      <c r="B40" s="12"/>
      <c r="C40" s="13"/>
      <c r="D40" s="12" t="s">
        <v>115</v>
      </c>
      <c r="E40" s="18">
        <v>456</v>
      </c>
      <c r="F40" s="12" t="s">
        <v>1080</v>
      </c>
      <c r="G40" s="19"/>
      <c r="H40" s="16" t="s">
        <v>196</v>
      </c>
      <c r="I40" s="18">
        <v>8000</v>
      </c>
      <c r="J40" s="13" t="s">
        <v>843</v>
      </c>
      <c r="K40" s="18"/>
      <c r="L40" s="12"/>
      <c r="M40" s="14"/>
      <c r="N40" s="14"/>
      <c r="O40" s="21"/>
      <c r="P40" s="21"/>
      <c r="Q40" s="1"/>
      <c r="R40" s="1"/>
      <c r="S40" s="1"/>
      <c r="T40" s="1"/>
      <c r="U40" s="1"/>
      <c r="V40" s="1"/>
      <c r="W40" s="1"/>
    </row>
    <row r="41" spans="1:16384" ht="25.5" x14ac:dyDescent="0.2">
      <c r="A41" s="12"/>
      <c r="B41" s="18"/>
      <c r="C41" s="12"/>
      <c r="D41" s="19" t="s">
        <v>115</v>
      </c>
      <c r="E41" s="18">
        <v>457</v>
      </c>
      <c r="F41" s="18" t="s">
        <v>1116</v>
      </c>
      <c r="G41" s="13"/>
      <c r="H41" s="16" t="s">
        <v>1153</v>
      </c>
      <c r="I41" s="18">
        <v>170</v>
      </c>
      <c r="J41" s="12" t="s">
        <v>1154</v>
      </c>
      <c r="K41" s="19"/>
      <c r="L41" s="16"/>
      <c r="M41" s="18"/>
      <c r="N41" s="13"/>
      <c r="O41" s="12"/>
      <c r="P41" s="18"/>
      <c r="Q41" s="12"/>
      <c r="R41" s="19"/>
      <c r="S41" s="16"/>
      <c r="T41" s="18"/>
      <c r="U41" s="13"/>
      <c r="V41" s="12"/>
      <c r="W41" s="18"/>
      <c r="X41" s="12"/>
      <c r="Y41" s="19"/>
      <c r="Z41" s="16"/>
      <c r="AA41" s="18"/>
      <c r="AB41" s="13"/>
      <c r="AC41" s="12"/>
      <c r="AD41" s="18"/>
      <c r="AE41" s="12"/>
      <c r="AF41" s="19"/>
      <c r="AG41" s="16"/>
      <c r="AH41" s="18"/>
      <c r="AI41" s="13"/>
      <c r="AJ41" s="12"/>
      <c r="AK41" s="18"/>
      <c r="AL41" s="12"/>
      <c r="AM41" s="19"/>
      <c r="AN41" s="16"/>
      <c r="AO41" s="18"/>
      <c r="AP41" s="13"/>
      <c r="AQ41" s="12"/>
      <c r="AR41" s="18"/>
      <c r="AS41" s="12"/>
      <c r="AT41" s="19"/>
      <c r="AU41" s="16"/>
      <c r="AV41" s="18"/>
      <c r="AW41" s="13"/>
      <c r="AX41" s="12"/>
      <c r="AY41" s="18"/>
      <c r="AZ41" s="12"/>
      <c r="BA41" s="19"/>
      <c r="BB41" s="16"/>
      <c r="BC41" s="18"/>
      <c r="BD41" s="13"/>
      <c r="BE41" s="12"/>
      <c r="BF41" s="18"/>
      <c r="BG41" s="12"/>
      <c r="BH41" s="19"/>
      <c r="BI41" s="16"/>
      <c r="BJ41" s="18"/>
      <c r="BK41" s="13"/>
      <c r="BL41" s="12"/>
      <c r="BM41" s="18"/>
      <c r="BN41" s="12"/>
      <c r="BO41" s="19"/>
      <c r="BP41" s="16"/>
      <c r="BQ41" s="18"/>
      <c r="BR41" s="13"/>
      <c r="BS41" s="12"/>
      <c r="BT41" s="18"/>
      <c r="BU41" s="12"/>
      <c r="BV41" s="19"/>
      <c r="BW41" s="16"/>
      <c r="BX41" s="18"/>
      <c r="BY41" s="13"/>
      <c r="BZ41" s="12"/>
      <c r="CA41" s="18"/>
      <c r="CB41" s="12"/>
      <c r="CC41" s="19"/>
      <c r="CD41" s="16"/>
      <c r="CE41" s="18"/>
      <c r="CF41" s="13"/>
      <c r="CG41" s="12"/>
      <c r="CH41" s="18"/>
      <c r="CI41" s="12"/>
      <c r="CJ41" s="19"/>
      <c r="CK41" s="16"/>
      <c r="CL41" s="18"/>
      <c r="CM41" s="13"/>
      <c r="CN41" s="12"/>
      <c r="CO41" s="18"/>
      <c r="CP41" s="12"/>
      <c r="CQ41" s="19"/>
      <c r="CR41" s="16"/>
      <c r="CS41" s="18"/>
      <c r="CT41" s="13"/>
      <c r="CU41" s="12"/>
      <c r="CV41" s="18"/>
      <c r="CW41" s="12"/>
      <c r="CX41" s="19"/>
      <c r="CY41" s="16"/>
      <c r="CZ41" s="18"/>
      <c r="DA41" s="13"/>
      <c r="DB41" s="12"/>
      <c r="DC41" s="18"/>
      <c r="DD41" s="12"/>
      <c r="DE41" s="19"/>
      <c r="DF41" s="16"/>
      <c r="DG41" s="18"/>
      <c r="DH41" s="13"/>
      <c r="DI41" s="12"/>
      <c r="DJ41" s="18"/>
      <c r="DK41" s="12"/>
      <c r="DL41" s="19"/>
      <c r="DM41" s="16"/>
      <c r="DN41" s="18"/>
      <c r="DO41" s="13"/>
      <c r="DP41" s="12"/>
      <c r="DQ41" s="18"/>
      <c r="DR41" s="12"/>
      <c r="DS41" s="19"/>
      <c r="DT41" s="16"/>
      <c r="DU41" s="18"/>
      <c r="DV41" s="13"/>
      <c r="DW41" s="12"/>
      <c r="DX41" s="18"/>
      <c r="DY41" s="12"/>
      <c r="DZ41" s="19"/>
      <c r="EA41" s="16"/>
      <c r="EB41" s="18"/>
      <c r="EC41" s="13"/>
      <c r="ED41" s="12"/>
      <c r="EE41" s="18"/>
      <c r="EF41" s="12"/>
      <c r="EG41" s="19"/>
      <c r="EH41" s="16"/>
      <c r="EI41" s="18"/>
      <c r="EJ41" s="13"/>
      <c r="EK41" s="12"/>
      <c r="EL41" s="18"/>
      <c r="EM41" s="12"/>
      <c r="EN41" s="19"/>
      <c r="EO41" s="16"/>
      <c r="EP41" s="18"/>
      <c r="EQ41" s="13"/>
      <c r="ER41" s="12"/>
      <c r="ES41" s="18"/>
      <c r="ET41" s="12"/>
      <c r="EU41" s="19"/>
      <c r="EV41" s="16"/>
      <c r="EW41" s="18"/>
      <c r="EX41" s="13"/>
      <c r="EY41" s="12"/>
      <c r="EZ41" s="18"/>
      <c r="FA41" s="12"/>
      <c r="FB41" s="19"/>
      <c r="FC41" s="16"/>
      <c r="FD41" s="18"/>
      <c r="FE41" s="13"/>
      <c r="FF41" s="12"/>
      <c r="FG41" s="18"/>
      <c r="FH41" s="12"/>
      <c r="FI41" s="19"/>
      <c r="FJ41" s="16"/>
      <c r="FK41" s="18"/>
      <c r="FL41" s="13"/>
      <c r="FM41" s="12"/>
      <c r="FN41" s="18"/>
      <c r="FO41" s="12"/>
      <c r="FP41" s="19"/>
      <c r="FQ41" s="16"/>
      <c r="FR41" s="18"/>
      <c r="FS41" s="13"/>
      <c r="FT41" s="12"/>
      <c r="FU41" s="18"/>
      <c r="FV41" s="12"/>
      <c r="FW41" s="19"/>
      <c r="FX41" s="16"/>
      <c r="FY41" s="18"/>
      <c r="FZ41" s="13"/>
      <c r="GA41" s="12"/>
      <c r="GB41" s="18"/>
      <c r="GC41" s="12"/>
      <c r="GD41" s="19"/>
      <c r="GE41" s="16"/>
      <c r="GF41" s="18"/>
      <c r="GG41" s="13"/>
      <c r="GH41" s="12"/>
      <c r="GI41" s="18"/>
      <c r="GJ41" s="12"/>
      <c r="GK41" s="19"/>
      <c r="GL41" s="16"/>
      <c r="GM41" s="18"/>
      <c r="GN41" s="13"/>
      <c r="GO41" s="12"/>
      <c r="GP41" s="18"/>
      <c r="GQ41" s="12"/>
      <c r="GR41" s="19"/>
      <c r="GS41" s="16"/>
      <c r="GT41" s="18"/>
      <c r="GU41" s="13"/>
      <c r="GV41" s="12"/>
      <c r="GW41" s="18"/>
      <c r="GX41" s="12"/>
      <c r="GY41" s="19"/>
      <c r="GZ41" s="16"/>
      <c r="HA41" s="18"/>
      <c r="HB41" s="13"/>
      <c r="HC41" s="12"/>
      <c r="HD41" s="18"/>
      <c r="HE41" s="12"/>
      <c r="HF41" s="19"/>
      <c r="HG41" s="16"/>
      <c r="HH41" s="18"/>
      <c r="HI41" s="13"/>
      <c r="HJ41" s="12"/>
      <c r="HK41" s="18"/>
      <c r="HL41" s="12"/>
      <c r="HM41" s="19"/>
      <c r="HN41" s="16"/>
      <c r="HO41" s="18"/>
      <c r="HP41" s="13"/>
      <c r="HQ41" s="12"/>
      <c r="HR41" s="18"/>
      <c r="HS41" s="12"/>
      <c r="HT41" s="19"/>
      <c r="HU41" s="16"/>
      <c r="HV41" s="18"/>
      <c r="HW41" s="13"/>
      <c r="HX41" s="12"/>
      <c r="HY41" s="18"/>
      <c r="HZ41" s="12"/>
      <c r="IA41" s="19"/>
      <c r="IB41" s="16"/>
      <c r="IC41" s="18"/>
      <c r="ID41" s="13"/>
      <c r="IE41" s="12"/>
      <c r="IF41" s="18"/>
      <c r="IG41" s="12"/>
      <c r="IH41" s="19"/>
      <c r="II41" s="16"/>
      <c r="IJ41" s="18"/>
      <c r="IK41" s="13"/>
      <c r="IL41" s="12"/>
      <c r="IM41" s="18"/>
      <c r="IN41" s="12"/>
      <c r="IO41" s="19"/>
      <c r="IP41" s="16"/>
      <c r="IQ41" s="18"/>
      <c r="IR41" s="13"/>
      <c r="IS41" s="12"/>
      <c r="IT41" s="18"/>
      <c r="IU41" s="12"/>
      <c r="IV41" s="19"/>
      <c r="IW41" s="16"/>
      <c r="IX41" s="18"/>
      <c r="IY41" s="13"/>
      <c r="IZ41" s="12"/>
      <c r="JA41" s="18"/>
      <c r="JB41" s="12"/>
      <c r="JC41" s="19"/>
      <c r="JD41" s="16"/>
      <c r="JE41" s="18"/>
      <c r="JF41" s="13"/>
      <c r="JG41" s="12"/>
      <c r="JH41" s="18"/>
      <c r="JI41" s="12"/>
      <c r="JJ41" s="19"/>
      <c r="JK41" s="16"/>
      <c r="JL41" s="18"/>
      <c r="JM41" s="13"/>
      <c r="JN41" s="12"/>
      <c r="JO41" s="18"/>
      <c r="JP41" s="12"/>
      <c r="JQ41" s="19"/>
      <c r="JR41" s="16"/>
      <c r="JS41" s="18"/>
      <c r="JT41" s="13"/>
      <c r="JU41" s="12"/>
      <c r="JV41" s="18"/>
      <c r="JW41" s="12"/>
      <c r="JX41" s="19"/>
      <c r="JY41" s="16"/>
      <c r="JZ41" s="18"/>
      <c r="KA41" s="13"/>
      <c r="KB41" s="12"/>
      <c r="KC41" s="18"/>
      <c r="KD41" s="12"/>
      <c r="KE41" s="19"/>
      <c r="KF41" s="16"/>
      <c r="KG41" s="18"/>
      <c r="KH41" s="13"/>
      <c r="KI41" s="12"/>
      <c r="KJ41" s="18"/>
      <c r="KK41" s="12"/>
      <c r="KL41" s="19"/>
      <c r="KM41" s="16"/>
      <c r="KN41" s="18"/>
      <c r="KO41" s="13"/>
      <c r="KP41" s="12"/>
      <c r="KQ41" s="18"/>
      <c r="KR41" s="12"/>
      <c r="KS41" s="19"/>
      <c r="KT41" s="16"/>
      <c r="KU41" s="18"/>
      <c r="KV41" s="13"/>
      <c r="KW41" s="12"/>
      <c r="KX41" s="18"/>
      <c r="KY41" s="12"/>
      <c r="KZ41" s="19"/>
      <c r="LA41" s="16"/>
      <c r="LB41" s="18"/>
      <c r="LC41" s="13"/>
      <c r="LD41" s="12"/>
      <c r="LE41" s="18"/>
      <c r="LF41" s="12"/>
      <c r="LG41" s="19"/>
      <c r="LH41" s="16"/>
      <c r="LI41" s="18"/>
      <c r="LJ41" s="13"/>
      <c r="LK41" s="12"/>
      <c r="LL41" s="18"/>
      <c r="LM41" s="12"/>
      <c r="LN41" s="19"/>
      <c r="LO41" s="16"/>
      <c r="LP41" s="18"/>
      <c r="LQ41" s="13"/>
      <c r="LR41" s="12"/>
      <c r="LS41" s="18"/>
      <c r="LT41" s="12"/>
      <c r="LU41" s="19"/>
      <c r="LV41" s="16"/>
      <c r="LW41" s="18"/>
      <c r="LX41" s="13"/>
      <c r="LY41" s="12"/>
      <c r="LZ41" s="18"/>
      <c r="MA41" s="12"/>
      <c r="MB41" s="19"/>
      <c r="MC41" s="16"/>
      <c r="MD41" s="18"/>
      <c r="ME41" s="13"/>
      <c r="MF41" s="12"/>
      <c r="MG41" s="18"/>
      <c r="MH41" s="12"/>
      <c r="MI41" s="19"/>
      <c r="MJ41" s="16"/>
      <c r="MK41" s="18"/>
      <c r="ML41" s="13"/>
      <c r="MM41" s="12"/>
      <c r="MN41" s="18"/>
      <c r="MO41" s="12"/>
      <c r="MP41" s="19"/>
      <c r="MQ41" s="16"/>
      <c r="MR41" s="18"/>
      <c r="MS41" s="13"/>
      <c r="MT41" s="12"/>
      <c r="MU41" s="18"/>
      <c r="MV41" s="12"/>
      <c r="MW41" s="19"/>
      <c r="MX41" s="16"/>
      <c r="MY41" s="18"/>
      <c r="MZ41" s="13"/>
      <c r="NA41" s="12"/>
      <c r="NB41" s="18"/>
      <c r="NC41" s="12"/>
      <c r="ND41" s="19"/>
      <c r="NE41" s="16"/>
      <c r="NF41" s="18"/>
      <c r="NG41" s="13"/>
      <c r="NH41" s="12"/>
      <c r="NI41" s="18"/>
      <c r="NJ41" s="12"/>
      <c r="NK41" s="19"/>
      <c r="NL41" s="16"/>
      <c r="NM41" s="18"/>
      <c r="NN41" s="13"/>
      <c r="NO41" s="12"/>
      <c r="NP41" s="18"/>
      <c r="NQ41" s="12"/>
      <c r="NR41" s="19"/>
      <c r="NS41" s="16"/>
      <c r="NT41" s="18"/>
      <c r="NU41" s="13"/>
      <c r="NV41" s="12"/>
      <c r="NW41" s="18"/>
      <c r="NX41" s="12"/>
      <c r="NY41" s="19"/>
      <c r="NZ41" s="16"/>
      <c r="OA41" s="18"/>
      <c r="OB41" s="13"/>
      <c r="OC41" s="12"/>
      <c r="OD41" s="18"/>
      <c r="OE41" s="12"/>
      <c r="OF41" s="19"/>
      <c r="OG41" s="16"/>
      <c r="OH41" s="18"/>
      <c r="OI41" s="13"/>
      <c r="OJ41" s="12"/>
      <c r="OK41" s="18"/>
      <c r="OL41" s="12"/>
      <c r="OM41" s="19"/>
      <c r="ON41" s="16"/>
      <c r="OO41" s="18"/>
      <c r="OP41" s="13"/>
      <c r="OQ41" s="12"/>
      <c r="OR41" s="18"/>
      <c r="OS41" s="12"/>
      <c r="OT41" s="19"/>
      <c r="OU41" s="16"/>
      <c r="OV41" s="18"/>
      <c r="OW41" s="13"/>
      <c r="OX41" s="12"/>
      <c r="OY41" s="18"/>
      <c r="OZ41" s="12"/>
      <c r="PA41" s="19"/>
      <c r="PB41" s="16"/>
      <c r="PC41" s="18"/>
      <c r="PD41" s="13"/>
      <c r="PE41" s="12"/>
      <c r="PF41" s="18"/>
      <c r="PG41" s="12"/>
      <c r="PH41" s="19"/>
      <c r="PI41" s="16"/>
      <c r="PJ41" s="18"/>
      <c r="PK41" s="13"/>
      <c r="PL41" s="12"/>
      <c r="PM41" s="18"/>
      <c r="PN41" s="12"/>
      <c r="PO41" s="19"/>
      <c r="PP41" s="16"/>
      <c r="PQ41" s="18"/>
      <c r="PR41" s="13"/>
      <c r="PS41" s="12"/>
      <c r="PT41" s="18"/>
      <c r="PU41" s="12"/>
      <c r="PV41" s="19"/>
      <c r="PW41" s="16"/>
      <c r="PX41" s="18"/>
      <c r="PY41" s="13"/>
      <c r="PZ41" s="12"/>
      <c r="QA41" s="18"/>
      <c r="QB41" s="12"/>
      <c r="QC41" s="19"/>
      <c r="QD41" s="16"/>
      <c r="QE41" s="18"/>
      <c r="QF41" s="13"/>
      <c r="QG41" s="12"/>
      <c r="QH41" s="18"/>
      <c r="QI41" s="12"/>
      <c r="QJ41" s="19"/>
      <c r="QK41" s="16"/>
      <c r="QL41" s="18"/>
      <c r="QM41" s="13"/>
      <c r="QN41" s="12"/>
      <c r="QO41" s="18"/>
      <c r="QP41" s="12"/>
      <c r="QQ41" s="19"/>
      <c r="QR41" s="16"/>
      <c r="QS41" s="18"/>
      <c r="QT41" s="13"/>
      <c r="QU41" s="12"/>
      <c r="QV41" s="18"/>
      <c r="QW41" s="12"/>
      <c r="QX41" s="19"/>
      <c r="QY41" s="16"/>
      <c r="QZ41" s="18"/>
      <c r="RA41" s="13"/>
      <c r="RB41" s="12"/>
      <c r="RC41" s="18"/>
      <c r="RD41" s="12"/>
      <c r="RE41" s="19"/>
      <c r="RF41" s="16"/>
      <c r="RG41" s="18"/>
      <c r="RH41" s="13"/>
      <c r="RI41" s="12"/>
      <c r="RJ41" s="18"/>
      <c r="RK41" s="12"/>
      <c r="RL41" s="19"/>
      <c r="RM41" s="16"/>
      <c r="RN41" s="18"/>
      <c r="RO41" s="13"/>
      <c r="RP41" s="12"/>
      <c r="RQ41" s="18"/>
      <c r="RR41" s="12"/>
      <c r="RS41" s="19"/>
      <c r="RT41" s="16"/>
      <c r="RU41" s="18"/>
      <c r="RV41" s="13"/>
      <c r="RW41" s="12"/>
      <c r="RX41" s="18"/>
      <c r="RY41" s="12"/>
      <c r="RZ41" s="19"/>
      <c r="SA41" s="16"/>
      <c r="SB41" s="18"/>
      <c r="SC41" s="13"/>
      <c r="SD41" s="12"/>
      <c r="SE41" s="18"/>
      <c r="SF41" s="12"/>
      <c r="SG41" s="19"/>
      <c r="SH41" s="16"/>
      <c r="SI41" s="18"/>
      <c r="SJ41" s="13"/>
      <c r="SK41" s="12"/>
      <c r="SL41" s="18"/>
      <c r="SM41" s="12"/>
      <c r="SN41" s="19"/>
      <c r="SO41" s="16"/>
      <c r="SP41" s="18"/>
      <c r="SQ41" s="13"/>
      <c r="SR41" s="12"/>
      <c r="SS41" s="18"/>
      <c r="ST41" s="12"/>
      <c r="SU41" s="19"/>
      <c r="SV41" s="16"/>
      <c r="SW41" s="18"/>
      <c r="SX41" s="13"/>
      <c r="SY41" s="12"/>
      <c r="SZ41" s="18"/>
      <c r="TA41" s="12"/>
      <c r="TB41" s="19"/>
      <c r="TC41" s="16"/>
      <c r="TD41" s="18"/>
      <c r="TE41" s="13"/>
      <c r="TF41" s="12"/>
      <c r="TG41" s="18"/>
      <c r="TH41" s="12"/>
      <c r="TI41" s="19"/>
      <c r="TJ41" s="16"/>
      <c r="TK41" s="18"/>
      <c r="TL41" s="13"/>
      <c r="TM41" s="12"/>
      <c r="TN41" s="18"/>
      <c r="TO41" s="12"/>
      <c r="TP41" s="19"/>
      <c r="TQ41" s="16"/>
      <c r="TR41" s="18"/>
      <c r="TS41" s="13"/>
      <c r="TT41" s="12"/>
      <c r="TU41" s="18"/>
      <c r="TV41" s="12"/>
      <c r="TW41" s="19"/>
      <c r="TX41" s="16"/>
      <c r="TY41" s="18"/>
      <c r="TZ41" s="13"/>
      <c r="UA41" s="12"/>
      <c r="UB41" s="18"/>
      <c r="UC41" s="12"/>
      <c r="UD41" s="19"/>
      <c r="UE41" s="16"/>
      <c r="UF41" s="18"/>
      <c r="UG41" s="13"/>
      <c r="UH41" s="12"/>
      <c r="UI41" s="18"/>
      <c r="UJ41" s="12"/>
      <c r="UK41" s="19"/>
      <c r="UL41" s="16"/>
      <c r="UM41" s="18"/>
      <c r="UN41" s="13"/>
      <c r="UO41" s="12"/>
      <c r="UP41" s="18"/>
      <c r="UQ41" s="12"/>
      <c r="UR41" s="19"/>
      <c r="US41" s="16"/>
      <c r="UT41" s="18"/>
      <c r="UU41" s="13"/>
      <c r="UV41" s="12"/>
      <c r="UW41" s="18"/>
      <c r="UX41" s="12"/>
      <c r="UY41" s="19"/>
      <c r="UZ41" s="16"/>
      <c r="VA41" s="18"/>
      <c r="VB41" s="13"/>
      <c r="VC41" s="12"/>
      <c r="VD41" s="18"/>
      <c r="VE41" s="12"/>
      <c r="VF41" s="19"/>
      <c r="VG41" s="16"/>
      <c r="VH41" s="18"/>
      <c r="VI41" s="13"/>
      <c r="VJ41" s="12"/>
      <c r="VK41" s="18"/>
      <c r="VL41" s="12"/>
      <c r="VM41" s="19"/>
      <c r="VN41" s="16"/>
      <c r="VO41" s="18"/>
      <c r="VP41" s="13"/>
      <c r="VQ41" s="12"/>
      <c r="VR41" s="18"/>
      <c r="VS41" s="12"/>
      <c r="VT41" s="19"/>
      <c r="VU41" s="16"/>
      <c r="VV41" s="18"/>
      <c r="VW41" s="13"/>
      <c r="VX41" s="12"/>
      <c r="VY41" s="18"/>
      <c r="VZ41" s="12"/>
      <c r="WA41" s="19"/>
      <c r="WB41" s="16"/>
      <c r="WC41" s="18"/>
      <c r="WD41" s="13"/>
      <c r="WE41" s="12"/>
      <c r="WF41" s="18"/>
      <c r="WG41" s="12"/>
      <c r="WH41" s="19"/>
      <c r="WI41" s="16"/>
      <c r="WJ41" s="18"/>
      <c r="WK41" s="13"/>
      <c r="WL41" s="12"/>
      <c r="WM41" s="18"/>
      <c r="WN41" s="12"/>
      <c r="WO41" s="19"/>
      <c r="WP41" s="16"/>
      <c r="WQ41" s="18"/>
      <c r="WR41" s="13"/>
      <c r="WS41" s="12"/>
      <c r="WT41" s="18"/>
      <c r="WU41" s="12"/>
      <c r="WV41" s="19"/>
      <c r="WW41" s="16"/>
      <c r="WX41" s="18"/>
      <c r="WY41" s="13"/>
      <c r="WZ41" s="12"/>
      <c r="XA41" s="18"/>
      <c r="XB41" s="12"/>
      <c r="XC41" s="19"/>
      <c r="XD41" s="16"/>
      <c r="XE41" s="18"/>
      <c r="XF41" s="13"/>
      <c r="XG41" s="12"/>
      <c r="XH41" s="18"/>
      <c r="XI41" s="12"/>
      <c r="XJ41" s="19"/>
      <c r="XK41" s="16"/>
      <c r="XL41" s="18"/>
      <c r="XM41" s="13"/>
      <c r="XN41" s="12"/>
      <c r="XO41" s="18"/>
      <c r="XP41" s="12"/>
      <c r="XQ41" s="19"/>
      <c r="XR41" s="16"/>
      <c r="XS41" s="18"/>
      <c r="XT41" s="13"/>
      <c r="XU41" s="12"/>
      <c r="XV41" s="18"/>
      <c r="XW41" s="12"/>
      <c r="XX41" s="19"/>
      <c r="XY41" s="16"/>
      <c r="XZ41" s="18"/>
      <c r="YA41" s="13"/>
      <c r="YB41" s="12"/>
      <c r="YC41" s="18"/>
      <c r="YD41" s="12"/>
      <c r="YE41" s="19"/>
      <c r="YF41" s="16"/>
      <c r="YG41" s="18"/>
      <c r="YH41" s="13"/>
      <c r="YI41" s="12"/>
      <c r="YJ41" s="18"/>
      <c r="YK41" s="12"/>
      <c r="YL41" s="19"/>
      <c r="YM41" s="16"/>
      <c r="YN41" s="18"/>
      <c r="YO41" s="13"/>
      <c r="YP41" s="12"/>
      <c r="YQ41" s="18"/>
      <c r="YR41" s="12"/>
      <c r="YS41" s="19"/>
      <c r="YT41" s="16"/>
      <c r="YU41" s="18"/>
      <c r="YV41" s="13"/>
      <c r="YW41" s="12"/>
      <c r="YX41" s="18"/>
      <c r="YY41" s="12"/>
      <c r="YZ41" s="19"/>
      <c r="ZA41" s="16"/>
      <c r="ZB41" s="18"/>
      <c r="ZC41" s="13"/>
      <c r="ZD41" s="12"/>
      <c r="ZE41" s="18"/>
      <c r="ZF41" s="12"/>
      <c r="ZG41" s="19"/>
      <c r="ZH41" s="16"/>
      <c r="ZI41" s="18"/>
      <c r="ZJ41" s="13"/>
      <c r="ZK41" s="12"/>
      <c r="ZL41" s="18"/>
      <c r="ZM41" s="12"/>
      <c r="ZN41" s="19"/>
      <c r="ZO41" s="16"/>
      <c r="ZP41" s="18"/>
      <c r="ZQ41" s="13"/>
      <c r="ZR41" s="12"/>
      <c r="ZS41" s="18"/>
      <c r="ZT41" s="12"/>
      <c r="ZU41" s="19"/>
      <c r="ZV41" s="16"/>
      <c r="ZW41" s="18"/>
      <c r="ZX41" s="13"/>
      <c r="ZY41" s="12"/>
      <c r="ZZ41" s="18"/>
      <c r="AAA41" s="12"/>
      <c r="AAB41" s="19"/>
      <c r="AAC41" s="16"/>
      <c r="AAD41" s="18"/>
      <c r="AAE41" s="13"/>
      <c r="AAF41" s="12"/>
      <c r="AAG41" s="18"/>
      <c r="AAH41" s="12"/>
      <c r="AAI41" s="19"/>
      <c r="AAJ41" s="16"/>
      <c r="AAK41" s="18"/>
      <c r="AAL41" s="13"/>
      <c r="AAM41" s="12"/>
      <c r="AAN41" s="18"/>
      <c r="AAO41" s="12"/>
      <c r="AAP41" s="19"/>
      <c r="AAQ41" s="16"/>
      <c r="AAR41" s="18"/>
      <c r="AAS41" s="13"/>
      <c r="AAT41" s="12"/>
      <c r="AAU41" s="18"/>
      <c r="AAV41" s="12"/>
      <c r="AAW41" s="19"/>
      <c r="AAX41" s="16"/>
      <c r="AAY41" s="18"/>
      <c r="AAZ41" s="13"/>
      <c r="ABA41" s="12"/>
      <c r="ABB41" s="18"/>
      <c r="ABC41" s="12"/>
      <c r="ABD41" s="19"/>
      <c r="ABE41" s="16"/>
      <c r="ABF41" s="18"/>
      <c r="ABG41" s="13"/>
      <c r="ABH41" s="12"/>
      <c r="ABI41" s="18"/>
      <c r="ABJ41" s="12"/>
      <c r="ABK41" s="19"/>
      <c r="ABL41" s="16"/>
      <c r="ABM41" s="18"/>
      <c r="ABN41" s="13"/>
      <c r="ABO41" s="12"/>
      <c r="ABP41" s="18"/>
      <c r="ABQ41" s="12"/>
      <c r="ABR41" s="19"/>
      <c r="ABS41" s="16"/>
      <c r="ABT41" s="18"/>
      <c r="ABU41" s="13"/>
      <c r="ABV41" s="12"/>
      <c r="ABW41" s="18"/>
      <c r="ABX41" s="12"/>
      <c r="ABY41" s="19"/>
      <c r="ABZ41" s="16"/>
      <c r="ACA41" s="18"/>
      <c r="ACB41" s="13"/>
      <c r="ACC41" s="12"/>
      <c r="ACD41" s="18"/>
      <c r="ACE41" s="12"/>
      <c r="ACF41" s="19"/>
      <c r="ACG41" s="16"/>
      <c r="ACH41" s="18"/>
      <c r="ACI41" s="13"/>
      <c r="ACJ41" s="12"/>
      <c r="ACK41" s="18"/>
      <c r="ACL41" s="12"/>
      <c r="ACM41" s="19"/>
      <c r="ACN41" s="16"/>
      <c r="ACO41" s="18"/>
      <c r="ACP41" s="13"/>
      <c r="ACQ41" s="12"/>
      <c r="ACR41" s="18"/>
      <c r="ACS41" s="12"/>
      <c r="ACT41" s="19"/>
      <c r="ACU41" s="16"/>
      <c r="ACV41" s="18"/>
      <c r="ACW41" s="13"/>
      <c r="ACX41" s="12"/>
      <c r="ACY41" s="18"/>
      <c r="ACZ41" s="12"/>
      <c r="ADA41" s="19"/>
      <c r="ADB41" s="16"/>
      <c r="ADC41" s="18"/>
      <c r="ADD41" s="13"/>
      <c r="ADE41" s="12"/>
      <c r="ADF41" s="18"/>
      <c r="ADG41" s="12"/>
      <c r="ADH41" s="19"/>
      <c r="ADI41" s="16"/>
      <c r="ADJ41" s="18"/>
      <c r="ADK41" s="13"/>
      <c r="ADL41" s="12"/>
      <c r="ADM41" s="18"/>
      <c r="ADN41" s="12"/>
      <c r="ADO41" s="19"/>
      <c r="ADP41" s="16"/>
      <c r="ADQ41" s="18"/>
      <c r="ADR41" s="13"/>
      <c r="ADS41" s="12"/>
      <c r="ADT41" s="18"/>
      <c r="ADU41" s="12"/>
      <c r="ADV41" s="19"/>
      <c r="ADW41" s="16"/>
      <c r="ADX41" s="18"/>
      <c r="ADY41" s="13"/>
      <c r="ADZ41" s="12"/>
      <c r="AEA41" s="18"/>
      <c r="AEB41" s="12"/>
      <c r="AEC41" s="19"/>
      <c r="AED41" s="16"/>
      <c r="AEE41" s="18"/>
      <c r="AEF41" s="13"/>
      <c r="AEG41" s="12"/>
      <c r="AEH41" s="18"/>
      <c r="AEI41" s="12"/>
      <c r="AEJ41" s="19"/>
      <c r="AEK41" s="16"/>
      <c r="AEL41" s="18"/>
      <c r="AEM41" s="13"/>
      <c r="AEN41" s="12"/>
      <c r="AEO41" s="18"/>
      <c r="AEP41" s="12"/>
      <c r="AEQ41" s="19"/>
      <c r="AER41" s="16"/>
      <c r="AES41" s="18"/>
      <c r="AET41" s="13"/>
      <c r="AEU41" s="12"/>
      <c r="AEV41" s="18"/>
      <c r="AEW41" s="12"/>
      <c r="AEX41" s="19"/>
      <c r="AEY41" s="16"/>
      <c r="AEZ41" s="18"/>
      <c r="AFA41" s="13"/>
      <c r="AFB41" s="12"/>
      <c r="AFC41" s="18"/>
      <c r="AFD41" s="12"/>
      <c r="AFE41" s="19"/>
      <c r="AFF41" s="16"/>
      <c r="AFG41" s="18"/>
      <c r="AFH41" s="13"/>
      <c r="AFI41" s="12"/>
      <c r="AFJ41" s="18"/>
      <c r="AFK41" s="12"/>
      <c r="AFL41" s="19"/>
      <c r="AFM41" s="16"/>
      <c r="AFN41" s="18"/>
      <c r="AFO41" s="13"/>
      <c r="AFP41" s="12"/>
      <c r="AFQ41" s="18"/>
      <c r="AFR41" s="12"/>
      <c r="AFS41" s="19"/>
      <c r="AFT41" s="16"/>
      <c r="AFU41" s="18"/>
      <c r="AFV41" s="13"/>
      <c r="AFW41" s="12"/>
      <c r="AFX41" s="18"/>
      <c r="AFY41" s="12"/>
      <c r="AFZ41" s="19"/>
      <c r="AGA41" s="16"/>
      <c r="AGB41" s="18"/>
      <c r="AGC41" s="13"/>
      <c r="AGD41" s="12"/>
      <c r="AGE41" s="18"/>
      <c r="AGF41" s="12"/>
      <c r="AGG41" s="19"/>
      <c r="AGH41" s="16"/>
      <c r="AGI41" s="18"/>
      <c r="AGJ41" s="13"/>
      <c r="AGK41" s="12"/>
      <c r="AGL41" s="18"/>
      <c r="AGM41" s="12"/>
      <c r="AGN41" s="19"/>
      <c r="AGO41" s="16"/>
      <c r="AGP41" s="18"/>
      <c r="AGQ41" s="13"/>
      <c r="AGR41" s="12"/>
      <c r="AGS41" s="18"/>
      <c r="AGT41" s="12"/>
      <c r="AGU41" s="19"/>
      <c r="AGV41" s="16"/>
      <c r="AGW41" s="18"/>
      <c r="AGX41" s="13"/>
      <c r="AGY41" s="12"/>
      <c r="AGZ41" s="18"/>
      <c r="AHA41" s="12"/>
      <c r="AHB41" s="19"/>
      <c r="AHC41" s="16"/>
      <c r="AHD41" s="18"/>
      <c r="AHE41" s="13"/>
      <c r="AHF41" s="12"/>
      <c r="AHG41" s="18"/>
      <c r="AHH41" s="12"/>
      <c r="AHI41" s="19"/>
      <c r="AHJ41" s="16"/>
      <c r="AHK41" s="18"/>
      <c r="AHL41" s="13"/>
      <c r="AHM41" s="12"/>
      <c r="AHN41" s="18"/>
      <c r="AHO41" s="12"/>
      <c r="AHP41" s="19"/>
      <c r="AHQ41" s="16"/>
      <c r="AHR41" s="18"/>
      <c r="AHS41" s="13"/>
      <c r="AHT41" s="12"/>
      <c r="AHU41" s="18"/>
      <c r="AHV41" s="12"/>
      <c r="AHW41" s="19"/>
      <c r="AHX41" s="16"/>
      <c r="AHY41" s="18"/>
      <c r="AHZ41" s="13"/>
      <c r="AIA41" s="12"/>
      <c r="AIB41" s="18"/>
      <c r="AIC41" s="12"/>
      <c r="AID41" s="19"/>
      <c r="AIE41" s="16"/>
      <c r="AIF41" s="18"/>
      <c r="AIG41" s="13"/>
      <c r="AIH41" s="12"/>
      <c r="AII41" s="18"/>
      <c r="AIJ41" s="12"/>
      <c r="AIK41" s="19"/>
      <c r="AIL41" s="16"/>
      <c r="AIM41" s="18"/>
      <c r="AIN41" s="13"/>
      <c r="AIO41" s="12"/>
      <c r="AIP41" s="18"/>
      <c r="AIQ41" s="12"/>
      <c r="AIR41" s="19"/>
      <c r="AIS41" s="16"/>
      <c r="AIT41" s="18"/>
      <c r="AIU41" s="13"/>
      <c r="AIV41" s="12"/>
      <c r="AIW41" s="18"/>
      <c r="AIX41" s="12"/>
      <c r="AIY41" s="19"/>
      <c r="AIZ41" s="16"/>
      <c r="AJA41" s="18"/>
      <c r="AJB41" s="13"/>
      <c r="AJC41" s="12"/>
      <c r="AJD41" s="18"/>
      <c r="AJE41" s="12"/>
      <c r="AJF41" s="19"/>
      <c r="AJG41" s="16"/>
      <c r="AJH41" s="18"/>
      <c r="AJI41" s="13"/>
      <c r="AJJ41" s="12"/>
      <c r="AJK41" s="18"/>
      <c r="AJL41" s="12"/>
      <c r="AJM41" s="19"/>
      <c r="AJN41" s="16"/>
      <c r="AJO41" s="18"/>
      <c r="AJP41" s="13"/>
      <c r="AJQ41" s="12"/>
      <c r="AJR41" s="18"/>
      <c r="AJS41" s="12"/>
      <c r="AJT41" s="19"/>
      <c r="AJU41" s="16"/>
      <c r="AJV41" s="18"/>
      <c r="AJW41" s="13"/>
      <c r="AJX41" s="12"/>
      <c r="AJY41" s="18"/>
      <c r="AJZ41" s="12"/>
      <c r="AKA41" s="19"/>
      <c r="AKB41" s="16"/>
      <c r="AKC41" s="18"/>
      <c r="AKD41" s="13"/>
      <c r="AKE41" s="12"/>
      <c r="AKF41" s="18"/>
      <c r="AKG41" s="12"/>
      <c r="AKH41" s="19"/>
      <c r="AKI41" s="16"/>
      <c r="AKJ41" s="18"/>
      <c r="AKK41" s="13"/>
      <c r="AKL41" s="12"/>
      <c r="AKM41" s="18"/>
      <c r="AKN41" s="12"/>
      <c r="AKO41" s="19"/>
      <c r="AKP41" s="16"/>
      <c r="AKQ41" s="18"/>
      <c r="AKR41" s="13"/>
      <c r="AKS41" s="12"/>
      <c r="AKT41" s="18"/>
      <c r="AKU41" s="12"/>
      <c r="AKV41" s="19"/>
      <c r="AKW41" s="16"/>
      <c r="AKX41" s="18"/>
      <c r="AKY41" s="13"/>
      <c r="AKZ41" s="12"/>
      <c r="ALA41" s="18"/>
      <c r="ALB41" s="12"/>
      <c r="ALC41" s="19"/>
      <c r="ALD41" s="16"/>
      <c r="ALE41" s="18"/>
      <c r="ALF41" s="13"/>
      <c r="ALG41" s="12"/>
      <c r="ALH41" s="18"/>
      <c r="ALI41" s="12"/>
      <c r="ALJ41" s="19"/>
      <c r="ALK41" s="16"/>
      <c r="ALL41" s="18"/>
      <c r="ALM41" s="13"/>
      <c r="ALN41" s="12"/>
      <c r="ALO41" s="18"/>
      <c r="ALP41" s="12"/>
      <c r="ALQ41" s="19"/>
      <c r="ALR41" s="16"/>
      <c r="ALS41" s="18"/>
      <c r="ALT41" s="13"/>
      <c r="ALU41" s="12"/>
      <c r="ALV41" s="18"/>
      <c r="ALW41" s="12"/>
      <c r="ALX41" s="19"/>
      <c r="ALY41" s="16"/>
      <c r="ALZ41" s="18"/>
      <c r="AMA41" s="13"/>
      <c r="AMB41" s="12"/>
      <c r="AMC41" s="18"/>
      <c r="AMD41" s="12"/>
      <c r="AME41" s="19"/>
      <c r="AMF41" s="16"/>
      <c r="AMG41" s="18"/>
      <c r="AMH41" s="13"/>
      <c r="AMI41" s="12"/>
      <c r="AMJ41" s="18"/>
      <c r="AMK41" s="12"/>
      <c r="AML41" s="19"/>
      <c r="AMM41" s="16"/>
      <c r="AMN41" s="18"/>
      <c r="AMO41" s="13"/>
      <c r="AMP41" s="12"/>
      <c r="AMQ41" s="18"/>
      <c r="AMR41" s="12"/>
      <c r="AMS41" s="19"/>
      <c r="AMT41" s="16"/>
      <c r="AMU41" s="18"/>
      <c r="AMV41" s="13"/>
      <c r="AMW41" s="12"/>
      <c r="AMX41" s="18"/>
      <c r="AMY41" s="12"/>
      <c r="AMZ41" s="19"/>
      <c r="ANA41" s="16"/>
      <c r="ANB41" s="18"/>
      <c r="ANC41" s="13"/>
      <c r="AND41" s="12"/>
      <c r="ANE41" s="18"/>
      <c r="ANF41" s="12"/>
      <c r="ANG41" s="19"/>
      <c r="ANH41" s="16"/>
      <c r="ANI41" s="18"/>
      <c r="ANJ41" s="13"/>
      <c r="ANK41" s="12"/>
      <c r="ANL41" s="18"/>
      <c r="ANM41" s="12"/>
      <c r="ANN41" s="19"/>
      <c r="ANO41" s="16"/>
      <c r="ANP41" s="18"/>
      <c r="ANQ41" s="13"/>
      <c r="ANR41" s="12"/>
      <c r="ANS41" s="18"/>
      <c r="ANT41" s="12"/>
      <c r="ANU41" s="19"/>
      <c r="ANV41" s="16"/>
      <c r="ANW41" s="18"/>
      <c r="ANX41" s="13"/>
      <c r="ANY41" s="12"/>
      <c r="ANZ41" s="18"/>
      <c r="AOA41" s="12"/>
      <c r="AOB41" s="19"/>
      <c r="AOC41" s="16"/>
      <c r="AOD41" s="18"/>
      <c r="AOE41" s="13"/>
      <c r="AOF41" s="12"/>
      <c r="AOG41" s="18"/>
      <c r="AOH41" s="12"/>
      <c r="AOI41" s="19"/>
      <c r="AOJ41" s="16"/>
      <c r="AOK41" s="18"/>
      <c r="AOL41" s="13"/>
      <c r="AOM41" s="12"/>
      <c r="AON41" s="18"/>
      <c r="AOO41" s="12"/>
      <c r="AOP41" s="19"/>
      <c r="AOQ41" s="16"/>
      <c r="AOR41" s="18"/>
      <c r="AOS41" s="13"/>
      <c r="AOT41" s="12"/>
      <c r="AOU41" s="18"/>
      <c r="AOV41" s="12"/>
      <c r="AOW41" s="19"/>
      <c r="AOX41" s="16"/>
      <c r="AOY41" s="18"/>
      <c r="AOZ41" s="13"/>
      <c r="APA41" s="12"/>
      <c r="APB41" s="18"/>
      <c r="APC41" s="12"/>
      <c r="APD41" s="19"/>
      <c r="APE41" s="16"/>
      <c r="APF41" s="18"/>
      <c r="APG41" s="13"/>
      <c r="APH41" s="12"/>
      <c r="API41" s="18"/>
      <c r="APJ41" s="12"/>
      <c r="APK41" s="19"/>
      <c r="APL41" s="16"/>
      <c r="APM41" s="18"/>
      <c r="APN41" s="13"/>
      <c r="APO41" s="12"/>
      <c r="APP41" s="18"/>
      <c r="APQ41" s="12"/>
      <c r="APR41" s="19"/>
      <c r="APS41" s="16"/>
      <c r="APT41" s="18"/>
      <c r="APU41" s="13"/>
      <c r="APV41" s="12"/>
      <c r="APW41" s="18"/>
      <c r="APX41" s="12"/>
      <c r="APY41" s="19"/>
      <c r="APZ41" s="16"/>
      <c r="AQA41" s="18"/>
      <c r="AQB41" s="13"/>
      <c r="AQC41" s="12"/>
      <c r="AQD41" s="18"/>
      <c r="AQE41" s="12"/>
      <c r="AQF41" s="19"/>
      <c r="AQG41" s="16"/>
      <c r="AQH41" s="18"/>
      <c r="AQI41" s="13"/>
      <c r="AQJ41" s="12"/>
      <c r="AQK41" s="18"/>
      <c r="AQL41" s="12"/>
      <c r="AQM41" s="19"/>
      <c r="AQN41" s="16"/>
      <c r="AQO41" s="18"/>
      <c r="AQP41" s="13"/>
      <c r="AQQ41" s="12"/>
      <c r="AQR41" s="18"/>
      <c r="AQS41" s="12"/>
      <c r="AQT41" s="19"/>
      <c r="AQU41" s="16"/>
      <c r="AQV41" s="18"/>
      <c r="AQW41" s="13"/>
      <c r="AQX41" s="12"/>
      <c r="AQY41" s="18"/>
      <c r="AQZ41" s="12"/>
      <c r="ARA41" s="19"/>
      <c r="ARB41" s="16"/>
      <c r="ARC41" s="18"/>
      <c r="ARD41" s="13"/>
      <c r="ARE41" s="12"/>
      <c r="ARF41" s="18"/>
      <c r="ARG41" s="12"/>
      <c r="ARH41" s="19"/>
      <c r="ARI41" s="16"/>
      <c r="ARJ41" s="18"/>
      <c r="ARK41" s="13"/>
      <c r="ARL41" s="12"/>
      <c r="ARM41" s="18"/>
      <c r="ARN41" s="12"/>
      <c r="ARO41" s="19"/>
      <c r="ARP41" s="16"/>
      <c r="ARQ41" s="18"/>
      <c r="ARR41" s="13"/>
      <c r="ARS41" s="12"/>
      <c r="ART41" s="18"/>
      <c r="ARU41" s="12"/>
      <c r="ARV41" s="19"/>
      <c r="ARW41" s="16"/>
      <c r="ARX41" s="18"/>
      <c r="ARY41" s="13"/>
      <c r="ARZ41" s="12"/>
      <c r="ASA41" s="18"/>
      <c r="ASB41" s="12"/>
      <c r="ASC41" s="19"/>
      <c r="ASD41" s="16"/>
      <c r="ASE41" s="18"/>
      <c r="ASF41" s="13"/>
      <c r="ASG41" s="12"/>
      <c r="ASH41" s="18"/>
      <c r="ASI41" s="12"/>
      <c r="ASJ41" s="19"/>
      <c r="ASK41" s="16"/>
      <c r="ASL41" s="18"/>
      <c r="ASM41" s="13"/>
      <c r="ASN41" s="12"/>
      <c r="ASO41" s="18"/>
      <c r="ASP41" s="12"/>
      <c r="ASQ41" s="19"/>
      <c r="ASR41" s="16"/>
      <c r="ASS41" s="18"/>
      <c r="AST41" s="13"/>
      <c r="ASU41" s="12"/>
      <c r="ASV41" s="18"/>
      <c r="ASW41" s="12"/>
      <c r="ASX41" s="19"/>
      <c r="ASY41" s="16"/>
      <c r="ASZ41" s="18"/>
      <c r="ATA41" s="13"/>
      <c r="ATB41" s="12"/>
      <c r="ATC41" s="18"/>
      <c r="ATD41" s="12"/>
      <c r="ATE41" s="19"/>
      <c r="ATF41" s="16"/>
      <c r="ATG41" s="18"/>
      <c r="ATH41" s="13"/>
      <c r="ATI41" s="12"/>
      <c r="ATJ41" s="18"/>
      <c r="ATK41" s="12"/>
      <c r="ATL41" s="19"/>
      <c r="ATM41" s="16"/>
      <c r="ATN41" s="18"/>
      <c r="ATO41" s="13"/>
      <c r="ATP41" s="12"/>
      <c r="ATQ41" s="18"/>
      <c r="ATR41" s="12"/>
      <c r="ATS41" s="19"/>
      <c r="ATT41" s="16"/>
      <c r="ATU41" s="18"/>
      <c r="ATV41" s="13"/>
      <c r="ATW41" s="12"/>
      <c r="ATX41" s="18"/>
      <c r="ATY41" s="12"/>
      <c r="ATZ41" s="19"/>
      <c r="AUA41" s="16"/>
      <c r="AUB41" s="18"/>
      <c r="AUC41" s="13"/>
      <c r="AUD41" s="12"/>
      <c r="AUE41" s="18"/>
      <c r="AUF41" s="12"/>
      <c r="AUG41" s="19"/>
      <c r="AUH41" s="16"/>
      <c r="AUI41" s="18"/>
      <c r="AUJ41" s="13"/>
      <c r="AUK41" s="12"/>
      <c r="AUL41" s="18"/>
      <c r="AUM41" s="12"/>
      <c r="AUN41" s="19"/>
      <c r="AUO41" s="16"/>
      <c r="AUP41" s="18"/>
      <c r="AUQ41" s="13"/>
      <c r="AUR41" s="12"/>
      <c r="AUS41" s="18"/>
      <c r="AUT41" s="12"/>
      <c r="AUU41" s="19"/>
      <c r="AUV41" s="16"/>
      <c r="AUW41" s="18"/>
      <c r="AUX41" s="13"/>
      <c r="AUY41" s="12"/>
      <c r="AUZ41" s="18"/>
      <c r="AVA41" s="12"/>
      <c r="AVB41" s="19"/>
      <c r="AVC41" s="16"/>
      <c r="AVD41" s="18"/>
      <c r="AVE41" s="13"/>
      <c r="AVF41" s="12"/>
      <c r="AVG41" s="18"/>
      <c r="AVH41" s="12"/>
      <c r="AVI41" s="19"/>
      <c r="AVJ41" s="16"/>
      <c r="AVK41" s="18"/>
      <c r="AVL41" s="13"/>
      <c r="AVM41" s="12"/>
      <c r="AVN41" s="18"/>
      <c r="AVO41" s="12"/>
      <c r="AVP41" s="19"/>
      <c r="AVQ41" s="16"/>
      <c r="AVR41" s="18"/>
      <c r="AVS41" s="13"/>
      <c r="AVT41" s="12"/>
      <c r="AVU41" s="18"/>
      <c r="AVV41" s="12"/>
      <c r="AVW41" s="19"/>
      <c r="AVX41" s="16"/>
      <c r="AVY41" s="18"/>
      <c r="AVZ41" s="13"/>
      <c r="AWA41" s="12"/>
      <c r="AWB41" s="18"/>
      <c r="AWC41" s="12"/>
      <c r="AWD41" s="19"/>
      <c r="AWE41" s="16"/>
      <c r="AWF41" s="18"/>
      <c r="AWG41" s="13"/>
      <c r="AWH41" s="12"/>
      <c r="AWI41" s="18"/>
      <c r="AWJ41" s="12"/>
      <c r="AWK41" s="19"/>
      <c r="AWL41" s="16"/>
      <c r="AWM41" s="18"/>
      <c r="AWN41" s="13"/>
      <c r="AWO41" s="12"/>
      <c r="AWP41" s="18"/>
      <c r="AWQ41" s="12"/>
      <c r="AWR41" s="19"/>
      <c r="AWS41" s="16"/>
      <c r="AWT41" s="18"/>
      <c r="AWU41" s="13"/>
      <c r="AWV41" s="12"/>
      <c r="AWW41" s="18"/>
      <c r="AWX41" s="12"/>
      <c r="AWY41" s="19"/>
      <c r="AWZ41" s="16"/>
      <c r="AXA41" s="18"/>
      <c r="AXB41" s="13"/>
      <c r="AXC41" s="12"/>
      <c r="AXD41" s="18"/>
      <c r="AXE41" s="12"/>
      <c r="AXF41" s="19"/>
      <c r="AXG41" s="16"/>
      <c r="AXH41" s="18"/>
      <c r="AXI41" s="13"/>
      <c r="AXJ41" s="12"/>
      <c r="AXK41" s="18"/>
      <c r="AXL41" s="12"/>
      <c r="AXM41" s="19"/>
      <c r="AXN41" s="16"/>
      <c r="AXO41" s="18"/>
      <c r="AXP41" s="13"/>
      <c r="AXQ41" s="12"/>
      <c r="AXR41" s="18"/>
      <c r="AXS41" s="12"/>
      <c r="AXT41" s="19"/>
      <c r="AXU41" s="16"/>
      <c r="AXV41" s="18"/>
      <c r="AXW41" s="13"/>
      <c r="AXX41" s="12"/>
      <c r="AXY41" s="18"/>
      <c r="AXZ41" s="12"/>
      <c r="AYA41" s="19"/>
      <c r="AYB41" s="16"/>
      <c r="AYC41" s="18"/>
      <c r="AYD41" s="13"/>
      <c r="AYE41" s="12"/>
      <c r="AYF41" s="18"/>
      <c r="AYG41" s="12"/>
      <c r="AYH41" s="19"/>
      <c r="AYI41" s="16"/>
      <c r="AYJ41" s="18"/>
      <c r="AYK41" s="13"/>
      <c r="AYL41" s="12"/>
      <c r="AYM41" s="18"/>
      <c r="AYN41" s="12"/>
      <c r="AYO41" s="19"/>
      <c r="AYP41" s="16"/>
      <c r="AYQ41" s="18"/>
      <c r="AYR41" s="13"/>
      <c r="AYS41" s="12"/>
      <c r="AYT41" s="18"/>
      <c r="AYU41" s="12"/>
      <c r="AYV41" s="19"/>
      <c r="AYW41" s="16"/>
      <c r="AYX41" s="18"/>
      <c r="AYY41" s="13"/>
      <c r="AYZ41" s="12"/>
      <c r="AZA41" s="18"/>
      <c r="AZB41" s="12"/>
      <c r="AZC41" s="19"/>
      <c r="AZD41" s="16"/>
      <c r="AZE41" s="18"/>
      <c r="AZF41" s="13"/>
      <c r="AZG41" s="12"/>
      <c r="AZH41" s="18"/>
      <c r="AZI41" s="12"/>
      <c r="AZJ41" s="19"/>
      <c r="AZK41" s="16"/>
      <c r="AZL41" s="18"/>
      <c r="AZM41" s="13"/>
      <c r="AZN41" s="12"/>
      <c r="AZO41" s="18"/>
      <c r="AZP41" s="12"/>
      <c r="AZQ41" s="19"/>
      <c r="AZR41" s="16"/>
      <c r="AZS41" s="18"/>
      <c r="AZT41" s="13"/>
      <c r="AZU41" s="12"/>
      <c r="AZV41" s="18"/>
      <c r="AZW41" s="12"/>
      <c r="AZX41" s="19"/>
      <c r="AZY41" s="16"/>
      <c r="AZZ41" s="18"/>
      <c r="BAA41" s="13"/>
      <c r="BAB41" s="12"/>
      <c r="BAC41" s="18"/>
      <c r="BAD41" s="12"/>
      <c r="BAE41" s="19"/>
      <c r="BAF41" s="16"/>
      <c r="BAG41" s="18"/>
      <c r="BAH41" s="13"/>
      <c r="BAI41" s="12"/>
      <c r="BAJ41" s="18"/>
      <c r="BAK41" s="12"/>
      <c r="BAL41" s="19"/>
      <c r="BAM41" s="16"/>
      <c r="BAN41" s="18"/>
      <c r="BAO41" s="13"/>
      <c r="BAP41" s="12"/>
      <c r="BAQ41" s="18"/>
      <c r="BAR41" s="12"/>
      <c r="BAS41" s="19"/>
      <c r="BAT41" s="16"/>
      <c r="BAU41" s="18"/>
      <c r="BAV41" s="13"/>
      <c r="BAW41" s="12"/>
      <c r="BAX41" s="18"/>
      <c r="BAY41" s="12"/>
      <c r="BAZ41" s="19"/>
      <c r="BBA41" s="16"/>
      <c r="BBB41" s="18"/>
      <c r="BBC41" s="13"/>
      <c r="BBD41" s="12"/>
      <c r="BBE41" s="18"/>
      <c r="BBF41" s="12"/>
      <c r="BBG41" s="19"/>
      <c r="BBH41" s="16"/>
      <c r="BBI41" s="18"/>
      <c r="BBJ41" s="13"/>
      <c r="BBK41" s="12"/>
      <c r="BBL41" s="18"/>
      <c r="BBM41" s="12"/>
      <c r="BBN41" s="19"/>
      <c r="BBO41" s="16"/>
      <c r="BBP41" s="18"/>
      <c r="BBQ41" s="13"/>
      <c r="BBR41" s="12"/>
      <c r="BBS41" s="18"/>
      <c r="BBT41" s="12"/>
      <c r="BBU41" s="19"/>
      <c r="BBV41" s="16"/>
      <c r="BBW41" s="18"/>
      <c r="BBX41" s="13"/>
      <c r="BBY41" s="12"/>
      <c r="BBZ41" s="18"/>
      <c r="BCA41" s="12"/>
      <c r="BCB41" s="19"/>
      <c r="BCC41" s="16"/>
      <c r="BCD41" s="18"/>
      <c r="BCE41" s="13"/>
      <c r="BCF41" s="12"/>
      <c r="BCG41" s="18"/>
      <c r="BCH41" s="12"/>
      <c r="BCI41" s="19"/>
      <c r="BCJ41" s="16"/>
      <c r="BCK41" s="18"/>
      <c r="BCL41" s="13"/>
      <c r="BCM41" s="12"/>
      <c r="BCN41" s="18"/>
      <c r="BCO41" s="12"/>
      <c r="BCP41" s="19"/>
      <c r="BCQ41" s="16"/>
      <c r="BCR41" s="18"/>
      <c r="BCS41" s="13"/>
      <c r="BCT41" s="12"/>
      <c r="BCU41" s="18"/>
      <c r="BCV41" s="12"/>
      <c r="BCW41" s="19"/>
      <c r="BCX41" s="16"/>
      <c r="BCY41" s="18"/>
      <c r="BCZ41" s="13"/>
      <c r="BDA41" s="12"/>
      <c r="BDB41" s="18"/>
      <c r="BDC41" s="12"/>
      <c r="BDD41" s="19"/>
      <c r="BDE41" s="16"/>
      <c r="BDF41" s="18"/>
      <c r="BDG41" s="13"/>
      <c r="BDH41" s="12"/>
      <c r="BDI41" s="18"/>
      <c r="BDJ41" s="12"/>
      <c r="BDK41" s="19"/>
      <c r="BDL41" s="16"/>
      <c r="BDM41" s="18"/>
      <c r="BDN41" s="13"/>
      <c r="BDO41" s="12"/>
      <c r="BDP41" s="18"/>
      <c r="BDQ41" s="12"/>
      <c r="BDR41" s="19"/>
      <c r="BDS41" s="16"/>
      <c r="BDT41" s="18"/>
      <c r="BDU41" s="13"/>
      <c r="BDV41" s="12"/>
      <c r="BDW41" s="18"/>
      <c r="BDX41" s="12"/>
      <c r="BDY41" s="19"/>
      <c r="BDZ41" s="16"/>
      <c r="BEA41" s="18"/>
      <c r="BEB41" s="13"/>
      <c r="BEC41" s="12"/>
      <c r="BED41" s="18"/>
      <c r="BEE41" s="12"/>
      <c r="BEF41" s="19"/>
      <c r="BEG41" s="16"/>
      <c r="BEH41" s="18"/>
      <c r="BEI41" s="13"/>
      <c r="BEJ41" s="12"/>
      <c r="BEK41" s="18"/>
      <c r="BEL41" s="12"/>
      <c r="BEM41" s="19"/>
      <c r="BEN41" s="16"/>
      <c r="BEO41" s="18"/>
      <c r="BEP41" s="13"/>
      <c r="BEQ41" s="12"/>
      <c r="BER41" s="18"/>
      <c r="BES41" s="12"/>
      <c r="BET41" s="19"/>
      <c r="BEU41" s="16"/>
      <c r="BEV41" s="18"/>
      <c r="BEW41" s="13"/>
      <c r="BEX41" s="12"/>
      <c r="BEY41" s="18"/>
      <c r="BEZ41" s="12"/>
      <c r="BFA41" s="19"/>
      <c r="BFB41" s="16"/>
      <c r="BFC41" s="18"/>
      <c r="BFD41" s="13"/>
      <c r="BFE41" s="12"/>
      <c r="BFF41" s="18"/>
      <c r="BFG41" s="12"/>
      <c r="BFH41" s="19"/>
      <c r="BFI41" s="16"/>
      <c r="BFJ41" s="18"/>
      <c r="BFK41" s="13"/>
      <c r="BFL41" s="12"/>
      <c r="BFM41" s="18"/>
      <c r="BFN41" s="12"/>
      <c r="BFO41" s="19"/>
      <c r="BFP41" s="16"/>
      <c r="BFQ41" s="18"/>
      <c r="BFR41" s="13"/>
      <c r="BFS41" s="12"/>
      <c r="BFT41" s="18"/>
      <c r="BFU41" s="12"/>
      <c r="BFV41" s="19"/>
      <c r="BFW41" s="16"/>
      <c r="BFX41" s="18"/>
      <c r="BFY41" s="13"/>
      <c r="BFZ41" s="12"/>
      <c r="BGA41" s="18"/>
      <c r="BGB41" s="12"/>
      <c r="BGC41" s="19"/>
      <c r="BGD41" s="16"/>
      <c r="BGE41" s="18"/>
      <c r="BGF41" s="13"/>
      <c r="BGG41" s="12"/>
      <c r="BGH41" s="18"/>
      <c r="BGI41" s="12"/>
      <c r="BGJ41" s="19"/>
      <c r="BGK41" s="16"/>
      <c r="BGL41" s="18"/>
      <c r="BGM41" s="13"/>
      <c r="BGN41" s="12"/>
      <c r="BGO41" s="18"/>
      <c r="BGP41" s="12"/>
      <c r="BGQ41" s="19"/>
      <c r="BGR41" s="16"/>
      <c r="BGS41" s="18"/>
      <c r="BGT41" s="13"/>
      <c r="BGU41" s="12"/>
      <c r="BGV41" s="18"/>
      <c r="BGW41" s="12"/>
      <c r="BGX41" s="19"/>
      <c r="BGY41" s="16"/>
      <c r="BGZ41" s="18"/>
      <c r="BHA41" s="13"/>
      <c r="BHB41" s="12"/>
      <c r="BHC41" s="18"/>
      <c r="BHD41" s="12"/>
      <c r="BHE41" s="19"/>
      <c r="BHF41" s="16"/>
      <c r="BHG41" s="18"/>
      <c r="BHH41" s="13"/>
      <c r="BHI41" s="12"/>
      <c r="BHJ41" s="18"/>
      <c r="BHK41" s="12"/>
      <c r="BHL41" s="19"/>
      <c r="BHM41" s="16"/>
      <c r="BHN41" s="18"/>
      <c r="BHO41" s="13"/>
      <c r="BHP41" s="12"/>
      <c r="BHQ41" s="18"/>
      <c r="BHR41" s="12"/>
      <c r="BHS41" s="19"/>
      <c r="BHT41" s="16"/>
      <c r="BHU41" s="18"/>
      <c r="BHV41" s="13"/>
      <c r="BHW41" s="12"/>
      <c r="BHX41" s="18"/>
      <c r="BHY41" s="12"/>
      <c r="BHZ41" s="19"/>
      <c r="BIA41" s="16"/>
      <c r="BIB41" s="18"/>
      <c r="BIC41" s="13"/>
      <c r="BID41" s="12"/>
      <c r="BIE41" s="18"/>
      <c r="BIF41" s="12"/>
      <c r="BIG41" s="19"/>
      <c r="BIH41" s="16"/>
      <c r="BII41" s="18"/>
      <c r="BIJ41" s="13"/>
      <c r="BIK41" s="12"/>
      <c r="BIL41" s="18"/>
      <c r="BIM41" s="12"/>
      <c r="BIN41" s="19"/>
      <c r="BIO41" s="16"/>
      <c r="BIP41" s="18"/>
      <c r="BIQ41" s="13"/>
      <c r="BIR41" s="12"/>
      <c r="BIS41" s="18"/>
      <c r="BIT41" s="12"/>
      <c r="BIU41" s="19"/>
      <c r="BIV41" s="16"/>
      <c r="BIW41" s="18"/>
      <c r="BIX41" s="13"/>
      <c r="BIY41" s="12"/>
      <c r="BIZ41" s="18"/>
      <c r="BJA41" s="12"/>
      <c r="BJB41" s="19"/>
      <c r="BJC41" s="16"/>
      <c r="BJD41" s="18"/>
      <c r="BJE41" s="13"/>
      <c r="BJF41" s="12"/>
      <c r="BJG41" s="18"/>
      <c r="BJH41" s="12"/>
      <c r="BJI41" s="19"/>
      <c r="BJJ41" s="16"/>
      <c r="BJK41" s="18"/>
      <c r="BJL41" s="13"/>
      <c r="BJM41" s="12"/>
      <c r="BJN41" s="18"/>
      <c r="BJO41" s="12"/>
      <c r="BJP41" s="19"/>
      <c r="BJQ41" s="16"/>
      <c r="BJR41" s="18"/>
      <c r="BJS41" s="13"/>
      <c r="BJT41" s="12"/>
      <c r="BJU41" s="18"/>
      <c r="BJV41" s="12"/>
      <c r="BJW41" s="19"/>
      <c r="BJX41" s="16"/>
      <c r="BJY41" s="18"/>
      <c r="BJZ41" s="13"/>
      <c r="BKA41" s="12"/>
      <c r="BKB41" s="18"/>
      <c r="BKC41" s="12"/>
      <c r="BKD41" s="19"/>
      <c r="BKE41" s="16"/>
      <c r="BKF41" s="18"/>
      <c r="BKG41" s="13"/>
      <c r="BKH41" s="12"/>
      <c r="BKI41" s="18"/>
      <c r="BKJ41" s="12"/>
      <c r="BKK41" s="19"/>
      <c r="BKL41" s="16"/>
      <c r="BKM41" s="18"/>
      <c r="BKN41" s="13"/>
      <c r="BKO41" s="12"/>
      <c r="BKP41" s="18"/>
      <c r="BKQ41" s="12"/>
      <c r="BKR41" s="19"/>
      <c r="BKS41" s="16"/>
      <c r="BKT41" s="18"/>
      <c r="BKU41" s="13"/>
      <c r="BKV41" s="12"/>
      <c r="BKW41" s="18"/>
      <c r="BKX41" s="12"/>
      <c r="BKY41" s="19"/>
      <c r="BKZ41" s="16"/>
      <c r="BLA41" s="18"/>
      <c r="BLB41" s="13"/>
      <c r="BLC41" s="12"/>
      <c r="BLD41" s="18"/>
      <c r="BLE41" s="12"/>
      <c r="BLF41" s="19"/>
      <c r="BLG41" s="16"/>
      <c r="BLH41" s="18"/>
      <c r="BLI41" s="13"/>
      <c r="BLJ41" s="12"/>
      <c r="BLK41" s="18"/>
      <c r="BLL41" s="12"/>
      <c r="BLM41" s="19"/>
      <c r="BLN41" s="16"/>
      <c r="BLO41" s="18"/>
      <c r="BLP41" s="13"/>
      <c r="BLQ41" s="12"/>
      <c r="BLR41" s="18"/>
      <c r="BLS41" s="12"/>
      <c r="BLT41" s="19"/>
      <c r="BLU41" s="16"/>
      <c r="BLV41" s="18"/>
      <c r="BLW41" s="13"/>
      <c r="BLX41" s="12"/>
      <c r="BLY41" s="18"/>
      <c r="BLZ41" s="12"/>
      <c r="BMA41" s="19"/>
      <c r="BMB41" s="16"/>
      <c r="BMC41" s="18"/>
      <c r="BMD41" s="13"/>
      <c r="BME41" s="12"/>
      <c r="BMF41" s="18"/>
      <c r="BMG41" s="12"/>
      <c r="BMH41" s="19"/>
      <c r="BMI41" s="16"/>
      <c r="BMJ41" s="18"/>
      <c r="BMK41" s="13"/>
      <c r="BML41" s="12"/>
      <c r="BMM41" s="18"/>
      <c r="BMN41" s="12"/>
      <c r="BMO41" s="19"/>
      <c r="BMP41" s="16"/>
      <c r="BMQ41" s="18"/>
      <c r="BMR41" s="13"/>
      <c r="BMS41" s="12"/>
      <c r="BMT41" s="18"/>
      <c r="BMU41" s="12"/>
      <c r="BMV41" s="19"/>
      <c r="BMW41" s="16"/>
      <c r="BMX41" s="18"/>
      <c r="BMY41" s="13"/>
      <c r="BMZ41" s="12"/>
      <c r="BNA41" s="18"/>
      <c r="BNB41" s="12"/>
      <c r="BNC41" s="19"/>
      <c r="BND41" s="16"/>
      <c r="BNE41" s="18"/>
      <c r="BNF41" s="13"/>
      <c r="BNG41" s="12"/>
      <c r="BNH41" s="18"/>
      <c r="BNI41" s="12"/>
      <c r="BNJ41" s="19"/>
      <c r="BNK41" s="16"/>
      <c r="BNL41" s="18"/>
      <c r="BNM41" s="13"/>
      <c r="BNN41" s="12"/>
      <c r="BNO41" s="18"/>
      <c r="BNP41" s="12"/>
      <c r="BNQ41" s="19"/>
      <c r="BNR41" s="16"/>
      <c r="BNS41" s="18"/>
      <c r="BNT41" s="13"/>
      <c r="BNU41" s="12"/>
      <c r="BNV41" s="18"/>
      <c r="BNW41" s="12"/>
      <c r="BNX41" s="19"/>
      <c r="BNY41" s="16"/>
      <c r="BNZ41" s="18"/>
      <c r="BOA41" s="13"/>
      <c r="BOB41" s="12"/>
      <c r="BOC41" s="18"/>
      <c r="BOD41" s="12"/>
      <c r="BOE41" s="19"/>
      <c r="BOF41" s="16"/>
      <c r="BOG41" s="18"/>
      <c r="BOH41" s="13"/>
      <c r="BOI41" s="12"/>
      <c r="BOJ41" s="18"/>
      <c r="BOK41" s="12"/>
      <c r="BOL41" s="19"/>
      <c r="BOM41" s="16"/>
      <c r="BON41" s="18"/>
      <c r="BOO41" s="13"/>
      <c r="BOP41" s="12"/>
      <c r="BOQ41" s="18"/>
      <c r="BOR41" s="12"/>
      <c r="BOS41" s="19"/>
      <c r="BOT41" s="16"/>
      <c r="BOU41" s="18"/>
      <c r="BOV41" s="13"/>
      <c r="BOW41" s="12"/>
      <c r="BOX41" s="18"/>
      <c r="BOY41" s="12"/>
      <c r="BOZ41" s="19"/>
      <c r="BPA41" s="16"/>
      <c r="BPB41" s="18"/>
      <c r="BPC41" s="13"/>
      <c r="BPD41" s="12"/>
      <c r="BPE41" s="18"/>
      <c r="BPF41" s="12"/>
      <c r="BPG41" s="19"/>
      <c r="BPH41" s="16"/>
      <c r="BPI41" s="18"/>
      <c r="BPJ41" s="13"/>
      <c r="BPK41" s="12"/>
      <c r="BPL41" s="18"/>
      <c r="BPM41" s="12"/>
      <c r="BPN41" s="19"/>
      <c r="BPO41" s="16"/>
      <c r="BPP41" s="18"/>
      <c r="BPQ41" s="13"/>
      <c r="BPR41" s="12"/>
      <c r="BPS41" s="18"/>
      <c r="BPT41" s="12"/>
      <c r="BPU41" s="19"/>
      <c r="BPV41" s="16"/>
      <c r="BPW41" s="18"/>
      <c r="BPX41" s="13"/>
      <c r="BPY41" s="12"/>
      <c r="BPZ41" s="18"/>
      <c r="BQA41" s="12"/>
      <c r="BQB41" s="19"/>
      <c r="BQC41" s="16"/>
      <c r="BQD41" s="18"/>
      <c r="BQE41" s="13"/>
      <c r="BQF41" s="12"/>
      <c r="BQG41" s="18"/>
      <c r="BQH41" s="12"/>
      <c r="BQI41" s="19"/>
      <c r="BQJ41" s="16"/>
      <c r="BQK41" s="18"/>
      <c r="BQL41" s="13"/>
      <c r="BQM41" s="12"/>
      <c r="BQN41" s="18"/>
      <c r="BQO41" s="12"/>
      <c r="BQP41" s="19"/>
      <c r="BQQ41" s="16"/>
      <c r="BQR41" s="18"/>
      <c r="BQS41" s="13"/>
      <c r="BQT41" s="12"/>
      <c r="BQU41" s="18"/>
      <c r="BQV41" s="12"/>
      <c r="BQW41" s="19"/>
      <c r="BQX41" s="16"/>
      <c r="BQY41" s="18"/>
      <c r="BQZ41" s="13"/>
      <c r="BRA41" s="12"/>
      <c r="BRB41" s="18"/>
      <c r="BRC41" s="12"/>
      <c r="BRD41" s="19"/>
      <c r="BRE41" s="16"/>
      <c r="BRF41" s="18"/>
      <c r="BRG41" s="13"/>
      <c r="BRH41" s="12"/>
      <c r="BRI41" s="18"/>
      <c r="BRJ41" s="12"/>
      <c r="BRK41" s="19"/>
      <c r="BRL41" s="16"/>
      <c r="BRM41" s="18"/>
      <c r="BRN41" s="13"/>
      <c r="BRO41" s="12"/>
      <c r="BRP41" s="18"/>
      <c r="BRQ41" s="12"/>
      <c r="BRR41" s="19"/>
      <c r="BRS41" s="16"/>
      <c r="BRT41" s="18"/>
      <c r="BRU41" s="13"/>
      <c r="BRV41" s="12"/>
      <c r="BRW41" s="18"/>
      <c r="BRX41" s="12"/>
      <c r="BRY41" s="19"/>
      <c r="BRZ41" s="16"/>
      <c r="BSA41" s="18"/>
      <c r="BSB41" s="13"/>
      <c r="BSC41" s="12"/>
      <c r="BSD41" s="18"/>
      <c r="BSE41" s="12"/>
      <c r="BSF41" s="19"/>
      <c r="BSG41" s="16"/>
      <c r="BSH41" s="18"/>
      <c r="BSI41" s="13"/>
      <c r="BSJ41" s="12"/>
      <c r="BSK41" s="18"/>
      <c r="BSL41" s="12"/>
      <c r="BSM41" s="19"/>
      <c r="BSN41" s="16"/>
      <c r="BSO41" s="18"/>
      <c r="BSP41" s="13"/>
      <c r="BSQ41" s="12"/>
      <c r="BSR41" s="18"/>
      <c r="BSS41" s="12"/>
      <c r="BST41" s="19"/>
      <c r="BSU41" s="16"/>
      <c r="BSV41" s="18"/>
      <c r="BSW41" s="13"/>
      <c r="BSX41" s="12"/>
      <c r="BSY41" s="18"/>
      <c r="BSZ41" s="12"/>
      <c r="BTA41" s="19"/>
      <c r="BTB41" s="16"/>
      <c r="BTC41" s="18"/>
      <c r="BTD41" s="13"/>
      <c r="BTE41" s="12"/>
      <c r="BTF41" s="18"/>
      <c r="BTG41" s="12"/>
      <c r="BTH41" s="19"/>
      <c r="BTI41" s="16"/>
      <c r="BTJ41" s="18"/>
      <c r="BTK41" s="13"/>
      <c r="BTL41" s="12"/>
      <c r="BTM41" s="18"/>
      <c r="BTN41" s="12"/>
      <c r="BTO41" s="19"/>
      <c r="BTP41" s="16"/>
      <c r="BTQ41" s="18"/>
      <c r="BTR41" s="13"/>
      <c r="BTS41" s="12"/>
      <c r="BTT41" s="18"/>
      <c r="BTU41" s="12"/>
      <c r="BTV41" s="19"/>
      <c r="BTW41" s="16"/>
      <c r="BTX41" s="18"/>
      <c r="BTY41" s="13"/>
      <c r="BTZ41" s="12"/>
      <c r="BUA41" s="18"/>
      <c r="BUB41" s="12"/>
      <c r="BUC41" s="19"/>
      <c r="BUD41" s="16"/>
      <c r="BUE41" s="18"/>
      <c r="BUF41" s="13"/>
      <c r="BUG41" s="12"/>
      <c r="BUH41" s="18"/>
      <c r="BUI41" s="12"/>
      <c r="BUJ41" s="19"/>
      <c r="BUK41" s="16"/>
      <c r="BUL41" s="18"/>
      <c r="BUM41" s="13"/>
      <c r="BUN41" s="12"/>
      <c r="BUO41" s="18"/>
      <c r="BUP41" s="12"/>
      <c r="BUQ41" s="19"/>
      <c r="BUR41" s="16"/>
      <c r="BUS41" s="18"/>
      <c r="BUT41" s="13"/>
      <c r="BUU41" s="12"/>
      <c r="BUV41" s="18"/>
      <c r="BUW41" s="12"/>
      <c r="BUX41" s="19"/>
      <c r="BUY41" s="16"/>
      <c r="BUZ41" s="18"/>
      <c r="BVA41" s="13"/>
      <c r="BVB41" s="12"/>
      <c r="BVC41" s="18"/>
      <c r="BVD41" s="12"/>
      <c r="BVE41" s="19"/>
      <c r="BVF41" s="16"/>
      <c r="BVG41" s="18"/>
      <c r="BVH41" s="13"/>
      <c r="BVI41" s="12"/>
      <c r="BVJ41" s="18"/>
      <c r="BVK41" s="12"/>
      <c r="BVL41" s="19"/>
      <c r="BVM41" s="16"/>
      <c r="BVN41" s="18"/>
      <c r="BVO41" s="13"/>
      <c r="BVP41" s="12"/>
      <c r="BVQ41" s="18"/>
      <c r="BVR41" s="12"/>
      <c r="BVS41" s="19"/>
      <c r="BVT41" s="16"/>
      <c r="BVU41" s="18"/>
      <c r="BVV41" s="13"/>
      <c r="BVW41" s="12"/>
      <c r="BVX41" s="18"/>
      <c r="BVY41" s="12"/>
      <c r="BVZ41" s="19"/>
      <c r="BWA41" s="16"/>
      <c r="BWB41" s="18"/>
      <c r="BWC41" s="13"/>
      <c r="BWD41" s="12"/>
      <c r="BWE41" s="18"/>
      <c r="BWF41" s="12"/>
      <c r="BWG41" s="19"/>
      <c r="BWH41" s="16"/>
      <c r="BWI41" s="18"/>
      <c r="BWJ41" s="13"/>
      <c r="BWK41" s="12"/>
      <c r="BWL41" s="18"/>
      <c r="BWM41" s="12"/>
      <c r="BWN41" s="19"/>
      <c r="BWO41" s="16"/>
      <c r="BWP41" s="18"/>
      <c r="BWQ41" s="13"/>
      <c r="BWR41" s="12"/>
      <c r="BWS41" s="18"/>
      <c r="BWT41" s="12"/>
      <c r="BWU41" s="19"/>
      <c r="BWV41" s="16"/>
      <c r="BWW41" s="18"/>
      <c r="BWX41" s="13"/>
      <c r="BWY41" s="12"/>
      <c r="BWZ41" s="18"/>
      <c r="BXA41" s="12"/>
      <c r="BXB41" s="19"/>
      <c r="BXC41" s="16"/>
      <c r="BXD41" s="18"/>
      <c r="BXE41" s="13"/>
      <c r="BXF41" s="12"/>
      <c r="BXG41" s="18"/>
      <c r="BXH41" s="12"/>
      <c r="BXI41" s="19"/>
      <c r="BXJ41" s="16"/>
      <c r="BXK41" s="18"/>
      <c r="BXL41" s="13"/>
      <c r="BXM41" s="12"/>
      <c r="BXN41" s="18"/>
      <c r="BXO41" s="12"/>
      <c r="BXP41" s="19"/>
      <c r="BXQ41" s="16"/>
      <c r="BXR41" s="18"/>
      <c r="BXS41" s="13"/>
      <c r="BXT41" s="12"/>
      <c r="BXU41" s="18"/>
      <c r="BXV41" s="12"/>
      <c r="BXW41" s="19"/>
      <c r="BXX41" s="16"/>
      <c r="BXY41" s="18"/>
      <c r="BXZ41" s="13"/>
      <c r="BYA41" s="12"/>
      <c r="BYB41" s="18"/>
      <c r="BYC41" s="12"/>
      <c r="BYD41" s="19"/>
      <c r="BYE41" s="16"/>
      <c r="BYF41" s="18"/>
      <c r="BYG41" s="13"/>
      <c r="BYH41" s="12"/>
      <c r="BYI41" s="18"/>
      <c r="BYJ41" s="12"/>
      <c r="BYK41" s="19"/>
      <c r="BYL41" s="16"/>
      <c r="BYM41" s="18"/>
      <c r="BYN41" s="13"/>
      <c r="BYO41" s="12"/>
      <c r="BYP41" s="18"/>
      <c r="BYQ41" s="12"/>
      <c r="BYR41" s="19"/>
      <c r="BYS41" s="16"/>
      <c r="BYT41" s="18"/>
      <c r="BYU41" s="13"/>
      <c r="BYV41" s="12"/>
      <c r="BYW41" s="18"/>
      <c r="BYX41" s="12"/>
      <c r="BYY41" s="19"/>
      <c r="BYZ41" s="16"/>
      <c r="BZA41" s="18"/>
      <c r="BZB41" s="13"/>
      <c r="BZC41" s="12"/>
      <c r="BZD41" s="18"/>
      <c r="BZE41" s="12"/>
      <c r="BZF41" s="19"/>
      <c r="BZG41" s="16"/>
      <c r="BZH41" s="18"/>
      <c r="BZI41" s="13"/>
      <c r="BZJ41" s="12"/>
      <c r="BZK41" s="18"/>
      <c r="BZL41" s="12"/>
      <c r="BZM41" s="19"/>
      <c r="BZN41" s="16"/>
      <c r="BZO41" s="18"/>
      <c r="BZP41" s="13"/>
      <c r="BZQ41" s="12"/>
      <c r="BZR41" s="18"/>
      <c r="BZS41" s="12"/>
      <c r="BZT41" s="19"/>
      <c r="BZU41" s="16"/>
      <c r="BZV41" s="18"/>
      <c r="BZW41" s="13"/>
      <c r="BZX41" s="12"/>
      <c r="BZY41" s="18"/>
      <c r="BZZ41" s="12"/>
      <c r="CAA41" s="19"/>
      <c r="CAB41" s="16"/>
      <c r="CAC41" s="18"/>
      <c r="CAD41" s="13"/>
      <c r="CAE41" s="12"/>
      <c r="CAF41" s="18"/>
      <c r="CAG41" s="12"/>
      <c r="CAH41" s="19"/>
      <c r="CAI41" s="16"/>
      <c r="CAJ41" s="18"/>
      <c r="CAK41" s="13"/>
      <c r="CAL41" s="12"/>
      <c r="CAM41" s="18"/>
      <c r="CAN41" s="12"/>
      <c r="CAO41" s="19"/>
      <c r="CAP41" s="16"/>
      <c r="CAQ41" s="18"/>
      <c r="CAR41" s="13"/>
      <c r="CAS41" s="12"/>
      <c r="CAT41" s="18"/>
      <c r="CAU41" s="12"/>
      <c r="CAV41" s="19"/>
      <c r="CAW41" s="16"/>
      <c r="CAX41" s="18"/>
      <c r="CAY41" s="13"/>
      <c r="CAZ41" s="12"/>
      <c r="CBA41" s="18"/>
      <c r="CBB41" s="12"/>
      <c r="CBC41" s="19"/>
      <c r="CBD41" s="16"/>
      <c r="CBE41" s="18"/>
      <c r="CBF41" s="13"/>
      <c r="CBG41" s="12"/>
      <c r="CBH41" s="18"/>
      <c r="CBI41" s="12"/>
      <c r="CBJ41" s="19"/>
      <c r="CBK41" s="16"/>
      <c r="CBL41" s="18"/>
      <c r="CBM41" s="13"/>
      <c r="CBN41" s="12"/>
      <c r="CBO41" s="18"/>
      <c r="CBP41" s="12"/>
      <c r="CBQ41" s="19"/>
      <c r="CBR41" s="16"/>
      <c r="CBS41" s="18"/>
      <c r="CBT41" s="13"/>
      <c r="CBU41" s="12"/>
      <c r="CBV41" s="18"/>
      <c r="CBW41" s="12"/>
      <c r="CBX41" s="19"/>
      <c r="CBY41" s="16"/>
      <c r="CBZ41" s="18"/>
      <c r="CCA41" s="13"/>
      <c r="CCB41" s="12"/>
      <c r="CCC41" s="18"/>
      <c r="CCD41" s="12"/>
      <c r="CCE41" s="19"/>
      <c r="CCF41" s="16"/>
      <c r="CCG41" s="18"/>
      <c r="CCH41" s="13"/>
      <c r="CCI41" s="12"/>
      <c r="CCJ41" s="18"/>
      <c r="CCK41" s="12"/>
      <c r="CCL41" s="19"/>
      <c r="CCM41" s="16"/>
      <c r="CCN41" s="18"/>
      <c r="CCO41" s="13"/>
      <c r="CCP41" s="12"/>
      <c r="CCQ41" s="18"/>
      <c r="CCR41" s="12"/>
      <c r="CCS41" s="19"/>
      <c r="CCT41" s="16"/>
      <c r="CCU41" s="18"/>
      <c r="CCV41" s="13"/>
      <c r="CCW41" s="12"/>
      <c r="CCX41" s="18"/>
      <c r="CCY41" s="12"/>
      <c r="CCZ41" s="19"/>
      <c r="CDA41" s="16"/>
      <c r="CDB41" s="18"/>
      <c r="CDC41" s="13"/>
      <c r="CDD41" s="12"/>
      <c r="CDE41" s="18"/>
      <c r="CDF41" s="12"/>
      <c r="CDG41" s="19"/>
      <c r="CDH41" s="16"/>
      <c r="CDI41" s="18"/>
      <c r="CDJ41" s="13"/>
      <c r="CDK41" s="12"/>
      <c r="CDL41" s="18"/>
      <c r="CDM41" s="12"/>
      <c r="CDN41" s="19"/>
      <c r="CDO41" s="16"/>
      <c r="CDP41" s="18"/>
      <c r="CDQ41" s="13"/>
      <c r="CDR41" s="12"/>
      <c r="CDS41" s="18"/>
      <c r="CDT41" s="12"/>
      <c r="CDU41" s="19"/>
      <c r="CDV41" s="16"/>
      <c r="CDW41" s="18"/>
      <c r="CDX41" s="13"/>
      <c r="CDY41" s="12"/>
      <c r="CDZ41" s="18"/>
      <c r="CEA41" s="12"/>
      <c r="CEB41" s="19"/>
      <c r="CEC41" s="16"/>
      <c r="CED41" s="18"/>
      <c r="CEE41" s="13"/>
      <c r="CEF41" s="12"/>
      <c r="CEG41" s="18"/>
      <c r="CEH41" s="12"/>
      <c r="CEI41" s="19"/>
      <c r="CEJ41" s="16"/>
      <c r="CEK41" s="18"/>
      <c r="CEL41" s="13"/>
      <c r="CEM41" s="12"/>
      <c r="CEN41" s="18"/>
      <c r="CEO41" s="12"/>
      <c r="CEP41" s="19"/>
      <c r="CEQ41" s="16"/>
      <c r="CER41" s="18"/>
      <c r="CES41" s="13"/>
      <c r="CET41" s="12"/>
      <c r="CEU41" s="18"/>
      <c r="CEV41" s="12"/>
      <c r="CEW41" s="19"/>
      <c r="CEX41" s="16"/>
      <c r="CEY41" s="18"/>
      <c r="CEZ41" s="13"/>
      <c r="CFA41" s="12"/>
      <c r="CFB41" s="18"/>
      <c r="CFC41" s="12"/>
      <c r="CFD41" s="19"/>
      <c r="CFE41" s="16"/>
      <c r="CFF41" s="18"/>
      <c r="CFG41" s="13"/>
      <c r="CFH41" s="12"/>
      <c r="CFI41" s="18"/>
      <c r="CFJ41" s="12"/>
      <c r="CFK41" s="19"/>
      <c r="CFL41" s="16"/>
      <c r="CFM41" s="18"/>
      <c r="CFN41" s="13"/>
      <c r="CFO41" s="12"/>
      <c r="CFP41" s="18"/>
      <c r="CFQ41" s="12"/>
      <c r="CFR41" s="19"/>
      <c r="CFS41" s="16"/>
      <c r="CFT41" s="18"/>
      <c r="CFU41" s="13"/>
      <c r="CFV41" s="12"/>
      <c r="CFW41" s="18"/>
      <c r="CFX41" s="12"/>
      <c r="CFY41" s="19"/>
      <c r="CFZ41" s="16"/>
      <c r="CGA41" s="18"/>
      <c r="CGB41" s="13"/>
      <c r="CGC41" s="12"/>
      <c r="CGD41" s="18"/>
      <c r="CGE41" s="12"/>
      <c r="CGF41" s="19"/>
      <c r="CGG41" s="16"/>
      <c r="CGH41" s="18"/>
      <c r="CGI41" s="13"/>
      <c r="CGJ41" s="12"/>
      <c r="CGK41" s="18"/>
      <c r="CGL41" s="12"/>
      <c r="CGM41" s="19"/>
      <c r="CGN41" s="16"/>
      <c r="CGO41" s="18"/>
      <c r="CGP41" s="13"/>
      <c r="CGQ41" s="12"/>
      <c r="CGR41" s="18"/>
      <c r="CGS41" s="12"/>
      <c r="CGT41" s="19"/>
      <c r="CGU41" s="16"/>
      <c r="CGV41" s="18"/>
      <c r="CGW41" s="13"/>
      <c r="CGX41" s="12"/>
      <c r="CGY41" s="18"/>
      <c r="CGZ41" s="12"/>
      <c r="CHA41" s="19"/>
      <c r="CHB41" s="16"/>
      <c r="CHC41" s="18"/>
      <c r="CHD41" s="13"/>
      <c r="CHE41" s="12"/>
      <c r="CHF41" s="18"/>
      <c r="CHG41" s="12"/>
      <c r="CHH41" s="19"/>
      <c r="CHI41" s="16"/>
      <c r="CHJ41" s="18"/>
      <c r="CHK41" s="13"/>
      <c r="CHL41" s="12"/>
      <c r="CHM41" s="18"/>
      <c r="CHN41" s="12"/>
      <c r="CHO41" s="19"/>
      <c r="CHP41" s="16"/>
      <c r="CHQ41" s="18"/>
      <c r="CHR41" s="13"/>
      <c r="CHS41" s="12"/>
      <c r="CHT41" s="18"/>
      <c r="CHU41" s="12"/>
      <c r="CHV41" s="19"/>
      <c r="CHW41" s="16"/>
      <c r="CHX41" s="18"/>
      <c r="CHY41" s="13"/>
      <c r="CHZ41" s="12"/>
      <c r="CIA41" s="18"/>
      <c r="CIB41" s="12"/>
      <c r="CIC41" s="19"/>
      <c r="CID41" s="16"/>
      <c r="CIE41" s="18"/>
      <c r="CIF41" s="13"/>
      <c r="CIG41" s="12"/>
      <c r="CIH41" s="18"/>
      <c r="CII41" s="12"/>
      <c r="CIJ41" s="19"/>
      <c r="CIK41" s="16"/>
      <c r="CIL41" s="18"/>
      <c r="CIM41" s="13"/>
      <c r="CIN41" s="12"/>
      <c r="CIO41" s="18"/>
      <c r="CIP41" s="12"/>
      <c r="CIQ41" s="19"/>
      <c r="CIR41" s="16"/>
      <c r="CIS41" s="18"/>
      <c r="CIT41" s="13"/>
      <c r="CIU41" s="12"/>
      <c r="CIV41" s="18"/>
      <c r="CIW41" s="12"/>
      <c r="CIX41" s="19"/>
      <c r="CIY41" s="16"/>
      <c r="CIZ41" s="18"/>
      <c r="CJA41" s="13"/>
      <c r="CJB41" s="12"/>
      <c r="CJC41" s="18"/>
      <c r="CJD41" s="12"/>
      <c r="CJE41" s="19"/>
      <c r="CJF41" s="16"/>
      <c r="CJG41" s="18"/>
      <c r="CJH41" s="13"/>
      <c r="CJI41" s="12"/>
      <c r="CJJ41" s="18"/>
      <c r="CJK41" s="12"/>
      <c r="CJL41" s="19"/>
      <c r="CJM41" s="16"/>
      <c r="CJN41" s="18"/>
      <c r="CJO41" s="13"/>
      <c r="CJP41" s="12"/>
      <c r="CJQ41" s="18"/>
      <c r="CJR41" s="12"/>
      <c r="CJS41" s="19"/>
      <c r="CJT41" s="16"/>
      <c r="CJU41" s="18"/>
      <c r="CJV41" s="13"/>
      <c r="CJW41" s="12"/>
      <c r="CJX41" s="18"/>
      <c r="CJY41" s="12"/>
      <c r="CJZ41" s="19"/>
      <c r="CKA41" s="16"/>
      <c r="CKB41" s="18"/>
      <c r="CKC41" s="13"/>
      <c r="CKD41" s="12"/>
      <c r="CKE41" s="18"/>
      <c r="CKF41" s="12"/>
      <c r="CKG41" s="19"/>
      <c r="CKH41" s="16"/>
      <c r="CKI41" s="18"/>
      <c r="CKJ41" s="13"/>
      <c r="CKK41" s="12"/>
      <c r="CKL41" s="18"/>
      <c r="CKM41" s="12"/>
      <c r="CKN41" s="19"/>
      <c r="CKO41" s="16"/>
      <c r="CKP41" s="18"/>
      <c r="CKQ41" s="13"/>
      <c r="CKR41" s="12"/>
      <c r="CKS41" s="18"/>
      <c r="CKT41" s="12"/>
      <c r="CKU41" s="19"/>
      <c r="CKV41" s="16"/>
      <c r="CKW41" s="18"/>
      <c r="CKX41" s="13"/>
      <c r="CKY41" s="12"/>
      <c r="CKZ41" s="18"/>
      <c r="CLA41" s="12"/>
      <c r="CLB41" s="19"/>
      <c r="CLC41" s="16"/>
      <c r="CLD41" s="18"/>
      <c r="CLE41" s="13"/>
      <c r="CLF41" s="12"/>
      <c r="CLG41" s="18"/>
      <c r="CLH41" s="12"/>
      <c r="CLI41" s="19"/>
      <c r="CLJ41" s="16"/>
      <c r="CLK41" s="18"/>
      <c r="CLL41" s="13"/>
      <c r="CLM41" s="12"/>
      <c r="CLN41" s="18"/>
      <c r="CLO41" s="12"/>
      <c r="CLP41" s="19"/>
      <c r="CLQ41" s="16"/>
      <c r="CLR41" s="18"/>
      <c r="CLS41" s="13"/>
      <c r="CLT41" s="12"/>
      <c r="CLU41" s="18"/>
      <c r="CLV41" s="12"/>
      <c r="CLW41" s="19"/>
      <c r="CLX41" s="16"/>
      <c r="CLY41" s="18"/>
      <c r="CLZ41" s="13"/>
      <c r="CMA41" s="12"/>
      <c r="CMB41" s="18"/>
      <c r="CMC41" s="12"/>
      <c r="CMD41" s="19"/>
      <c r="CME41" s="16"/>
      <c r="CMF41" s="18"/>
      <c r="CMG41" s="13"/>
      <c r="CMH41" s="12"/>
      <c r="CMI41" s="18"/>
      <c r="CMJ41" s="12"/>
      <c r="CMK41" s="19"/>
      <c r="CML41" s="16"/>
      <c r="CMM41" s="18"/>
      <c r="CMN41" s="13"/>
      <c r="CMO41" s="12"/>
      <c r="CMP41" s="18"/>
      <c r="CMQ41" s="12"/>
      <c r="CMR41" s="19"/>
      <c r="CMS41" s="16"/>
      <c r="CMT41" s="18"/>
      <c r="CMU41" s="13"/>
      <c r="CMV41" s="12"/>
      <c r="CMW41" s="18"/>
      <c r="CMX41" s="12"/>
      <c r="CMY41" s="19"/>
      <c r="CMZ41" s="16"/>
      <c r="CNA41" s="18"/>
      <c r="CNB41" s="13"/>
      <c r="CNC41" s="12"/>
      <c r="CND41" s="18"/>
      <c r="CNE41" s="12"/>
      <c r="CNF41" s="19"/>
      <c r="CNG41" s="16"/>
      <c r="CNH41" s="18"/>
      <c r="CNI41" s="13"/>
      <c r="CNJ41" s="12"/>
      <c r="CNK41" s="18"/>
      <c r="CNL41" s="12"/>
      <c r="CNM41" s="19"/>
      <c r="CNN41" s="16"/>
      <c r="CNO41" s="18"/>
      <c r="CNP41" s="13"/>
      <c r="CNQ41" s="12"/>
      <c r="CNR41" s="18"/>
      <c r="CNS41" s="12"/>
      <c r="CNT41" s="19"/>
      <c r="CNU41" s="16"/>
      <c r="CNV41" s="18"/>
      <c r="CNW41" s="13"/>
      <c r="CNX41" s="12"/>
      <c r="CNY41" s="18"/>
      <c r="CNZ41" s="12"/>
      <c r="COA41" s="19"/>
      <c r="COB41" s="16"/>
      <c r="COC41" s="18"/>
      <c r="COD41" s="13"/>
      <c r="COE41" s="12"/>
      <c r="COF41" s="18"/>
      <c r="COG41" s="12"/>
      <c r="COH41" s="19"/>
      <c r="COI41" s="16"/>
      <c r="COJ41" s="18"/>
      <c r="COK41" s="13"/>
      <c r="COL41" s="12"/>
      <c r="COM41" s="18"/>
      <c r="CON41" s="12"/>
      <c r="COO41" s="19"/>
      <c r="COP41" s="16"/>
      <c r="COQ41" s="18"/>
      <c r="COR41" s="13"/>
      <c r="COS41" s="12"/>
      <c r="COT41" s="18"/>
      <c r="COU41" s="12"/>
      <c r="COV41" s="19"/>
      <c r="COW41" s="16"/>
      <c r="COX41" s="18"/>
      <c r="COY41" s="13"/>
      <c r="COZ41" s="12"/>
      <c r="CPA41" s="18"/>
      <c r="CPB41" s="12"/>
      <c r="CPC41" s="19"/>
      <c r="CPD41" s="16"/>
      <c r="CPE41" s="18"/>
      <c r="CPF41" s="13"/>
      <c r="CPG41" s="12"/>
      <c r="CPH41" s="18"/>
      <c r="CPI41" s="12"/>
      <c r="CPJ41" s="19"/>
      <c r="CPK41" s="16"/>
      <c r="CPL41" s="18"/>
      <c r="CPM41" s="13"/>
      <c r="CPN41" s="12"/>
      <c r="CPO41" s="18"/>
      <c r="CPP41" s="12"/>
      <c r="CPQ41" s="19"/>
      <c r="CPR41" s="16"/>
      <c r="CPS41" s="18"/>
      <c r="CPT41" s="13"/>
      <c r="CPU41" s="12"/>
      <c r="CPV41" s="18"/>
      <c r="CPW41" s="12"/>
      <c r="CPX41" s="19"/>
      <c r="CPY41" s="16"/>
      <c r="CPZ41" s="18"/>
      <c r="CQA41" s="13"/>
      <c r="CQB41" s="12"/>
      <c r="CQC41" s="18"/>
      <c r="CQD41" s="12"/>
      <c r="CQE41" s="19"/>
      <c r="CQF41" s="16"/>
      <c r="CQG41" s="18"/>
      <c r="CQH41" s="13"/>
      <c r="CQI41" s="12"/>
      <c r="CQJ41" s="18"/>
      <c r="CQK41" s="12"/>
      <c r="CQL41" s="19"/>
      <c r="CQM41" s="16"/>
      <c r="CQN41" s="18"/>
      <c r="CQO41" s="13"/>
      <c r="CQP41" s="12"/>
      <c r="CQQ41" s="18"/>
      <c r="CQR41" s="12"/>
      <c r="CQS41" s="19"/>
      <c r="CQT41" s="16"/>
      <c r="CQU41" s="18"/>
      <c r="CQV41" s="13"/>
      <c r="CQW41" s="12"/>
      <c r="CQX41" s="18"/>
      <c r="CQY41" s="12"/>
      <c r="CQZ41" s="19"/>
      <c r="CRA41" s="16"/>
      <c r="CRB41" s="18"/>
      <c r="CRC41" s="13"/>
      <c r="CRD41" s="12"/>
      <c r="CRE41" s="18"/>
      <c r="CRF41" s="12"/>
      <c r="CRG41" s="19"/>
      <c r="CRH41" s="16"/>
      <c r="CRI41" s="18"/>
      <c r="CRJ41" s="13"/>
      <c r="CRK41" s="12"/>
      <c r="CRL41" s="18"/>
      <c r="CRM41" s="12"/>
      <c r="CRN41" s="19"/>
      <c r="CRO41" s="16"/>
      <c r="CRP41" s="18"/>
      <c r="CRQ41" s="13"/>
      <c r="CRR41" s="12"/>
      <c r="CRS41" s="18"/>
      <c r="CRT41" s="12"/>
      <c r="CRU41" s="19"/>
      <c r="CRV41" s="16"/>
      <c r="CRW41" s="18"/>
      <c r="CRX41" s="13"/>
      <c r="CRY41" s="12"/>
      <c r="CRZ41" s="18"/>
      <c r="CSA41" s="12"/>
      <c r="CSB41" s="19"/>
      <c r="CSC41" s="16"/>
      <c r="CSD41" s="18"/>
      <c r="CSE41" s="13"/>
      <c r="CSF41" s="12"/>
      <c r="CSG41" s="18"/>
      <c r="CSH41" s="12"/>
      <c r="CSI41" s="19"/>
      <c r="CSJ41" s="16"/>
      <c r="CSK41" s="18"/>
      <c r="CSL41" s="13"/>
      <c r="CSM41" s="12"/>
      <c r="CSN41" s="18"/>
      <c r="CSO41" s="12"/>
      <c r="CSP41" s="19"/>
      <c r="CSQ41" s="16"/>
      <c r="CSR41" s="18"/>
      <c r="CSS41" s="13"/>
      <c r="CST41" s="12"/>
      <c r="CSU41" s="18"/>
      <c r="CSV41" s="12"/>
      <c r="CSW41" s="19"/>
      <c r="CSX41" s="16"/>
      <c r="CSY41" s="18"/>
      <c r="CSZ41" s="13"/>
      <c r="CTA41" s="12"/>
      <c r="CTB41" s="18"/>
      <c r="CTC41" s="12"/>
      <c r="CTD41" s="19"/>
      <c r="CTE41" s="16"/>
      <c r="CTF41" s="18"/>
      <c r="CTG41" s="13"/>
      <c r="CTH41" s="12"/>
      <c r="CTI41" s="18"/>
      <c r="CTJ41" s="12"/>
      <c r="CTK41" s="19"/>
      <c r="CTL41" s="16"/>
      <c r="CTM41" s="18"/>
      <c r="CTN41" s="13"/>
      <c r="CTO41" s="12"/>
      <c r="CTP41" s="18"/>
      <c r="CTQ41" s="12"/>
      <c r="CTR41" s="19"/>
      <c r="CTS41" s="16"/>
      <c r="CTT41" s="18"/>
      <c r="CTU41" s="13"/>
      <c r="CTV41" s="12"/>
      <c r="CTW41" s="18"/>
      <c r="CTX41" s="12"/>
      <c r="CTY41" s="19"/>
      <c r="CTZ41" s="16"/>
      <c r="CUA41" s="18"/>
      <c r="CUB41" s="13"/>
      <c r="CUC41" s="12"/>
      <c r="CUD41" s="18"/>
      <c r="CUE41" s="12"/>
      <c r="CUF41" s="19"/>
      <c r="CUG41" s="16"/>
      <c r="CUH41" s="18"/>
      <c r="CUI41" s="13"/>
      <c r="CUJ41" s="12"/>
      <c r="CUK41" s="18"/>
      <c r="CUL41" s="12"/>
      <c r="CUM41" s="19"/>
      <c r="CUN41" s="16"/>
      <c r="CUO41" s="18"/>
      <c r="CUP41" s="13"/>
      <c r="CUQ41" s="12"/>
      <c r="CUR41" s="18"/>
      <c r="CUS41" s="12"/>
      <c r="CUT41" s="19"/>
      <c r="CUU41" s="16"/>
      <c r="CUV41" s="18"/>
      <c r="CUW41" s="13"/>
      <c r="CUX41" s="12"/>
      <c r="CUY41" s="18"/>
      <c r="CUZ41" s="12"/>
      <c r="CVA41" s="19"/>
      <c r="CVB41" s="16"/>
      <c r="CVC41" s="18"/>
      <c r="CVD41" s="13"/>
      <c r="CVE41" s="12"/>
      <c r="CVF41" s="18"/>
      <c r="CVG41" s="12"/>
      <c r="CVH41" s="19"/>
      <c r="CVI41" s="16"/>
      <c r="CVJ41" s="18"/>
      <c r="CVK41" s="13"/>
      <c r="CVL41" s="12"/>
      <c r="CVM41" s="18"/>
      <c r="CVN41" s="12"/>
      <c r="CVO41" s="19"/>
      <c r="CVP41" s="16"/>
      <c r="CVQ41" s="18"/>
      <c r="CVR41" s="13"/>
      <c r="CVS41" s="12"/>
      <c r="CVT41" s="18"/>
      <c r="CVU41" s="12"/>
      <c r="CVV41" s="19"/>
      <c r="CVW41" s="16"/>
      <c r="CVX41" s="18"/>
      <c r="CVY41" s="13"/>
      <c r="CVZ41" s="12"/>
      <c r="CWA41" s="18"/>
      <c r="CWB41" s="12"/>
      <c r="CWC41" s="19"/>
      <c r="CWD41" s="16"/>
      <c r="CWE41" s="18"/>
      <c r="CWF41" s="13"/>
      <c r="CWG41" s="12"/>
      <c r="CWH41" s="18"/>
      <c r="CWI41" s="12"/>
      <c r="CWJ41" s="19"/>
      <c r="CWK41" s="16"/>
      <c r="CWL41" s="18"/>
      <c r="CWM41" s="13"/>
      <c r="CWN41" s="12"/>
      <c r="CWO41" s="18"/>
      <c r="CWP41" s="12"/>
      <c r="CWQ41" s="19"/>
      <c r="CWR41" s="16"/>
      <c r="CWS41" s="18"/>
      <c r="CWT41" s="13"/>
      <c r="CWU41" s="12"/>
      <c r="CWV41" s="18"/>
      <c r="CWW41" s="12"/>
      <c r="CWX41" s="19"/>
      <c r="CWY41" s="16"/>
      <c r="CWZ41" s="18"/>
      <c r="CXA41" s="13"/>
      <c r="CXB41" s="12"/>
      <c r="CXC41" s="18"/>
      <c r="CXD41" s="12"/>
      <c r="CXE41" s="19"/>
      <c r="CXF41" s="16"/>
      <c r="CXG41" s="18"/>
      <c r="CXH41" s="13"/>
      <c r="CXI41" s="12"/>
      <c r="CXJ41" s="18"/>
      <c r="CXK41" s="12"/>
      <c r="CXL41" s="19"/>
      <c r="CXM41" s="16"/>
      <c r="CXN41" s="18"/>
      <c r="CXO41" s="13"/>
      <c r="CXP41" s="12"/>
      <c r="CXQ41" s="18"/>
      <c r="CXR41" s="12"/>
      <c r="CXS41" s="19"/>
      <c r="CXT41" s="16"/>
      <c r="CXU41" s="18"/>
      <c r="CXV41" s="13"/>
      <c r="CXW41" s="12"/>
      <c r="CXX41" s="18"/>
      <c r="CXY41" s="12"/>
      <c r="CXZ41" s="19"/>
      <c r="CYA41" s="16"/>
      <c r="CYB41" s="18"/>
      <c r="CYC41" s="13"/>
      <c r="CYD41" s="12"/>
      <c r="CYE41" s="18"/>
      <c r="CYF41" s="12"/>
      <c r="CYG41" s="19"/>
      <c r="CYH41" s="16"/>
      <c r="CYI41" s="18"/>
      <c r="CYJ41" s="13"/>
      <c r="CYK41" s="12"/>
      <c r="CYL41" s="18"/>
      <c r="CYM41" s="12"/>
      <c r="CYN41" s="19"/>
      <c r="CYO41" s="16"/>
      <c r="CYP41" s="18"/>
      <c r="CYQ41" s="13"/>
      <c r="CYR41" s="12"/>
      <c r="CYS41" s="18"/>
      <c r="CYT41" s="12"/>
      <c r="CYU41" s="19"/>
      <c r="CYV41" s="16"/>
      <c r="CYW41" s="18"/>
      <c r="CYX41" s="13"/>
      <c r="CYY41" s="12"/>
      <c r="CYZ41" s="18"/>
      <c r="CZA41" s="12"/>
      <c r="CZB41" s="19"/>
      <c r="CZC41" s="16"/>
      <c r="CZD41" s="18"/>
      <c r="CZE41" s="13"/>
      <c r="CZF41" s="12"/>
      <c r="CZG41" s="18"/>
      <c r="CZH41" s="12"/>
      <c r="CZI41" s="19"/>
      <c r="CZJ41" s="16"/>
      <c r="CZK41" s="18"/>
      <c r="CZL41" s="13"/>
      <c r="CZM41" s="12"/>
      <c r="CZN41" s="18"/>
      <c r="CZO41" s="12"/>
      <c r="CZP41" s="19"/>
      <c r="CZQ41" s="16"/>
      <c r="CZR41" s="18"/>
      <c r="CZS41" s="13"/>
      <c r="CZT41" s="12"/>
      <c r="CZU41" s="18"/>
      <c r="CZV41" s="12"/>
      <c r="CZW41" s="19"/>
      <c r="CZX41" s="16"/>
      <c r="CZY41" s="18"/>
      <c r="CZZ41" s="13"/>
      <c r="DAA41" s="12"/>
      <c r="DAB41" s="18"/>
      <c r="DAC41" s="12"/>
      <c r="DAD41" s="19"/>
      <c r="DAE41" s="16"/>
      <c r="DAF41" s="18"/>
      <c r="DAG41" s="13"/>
      <c r="DAH41" s="12"/>
      <c r="DAI41" s="18"/>
      <c r="DAJ41" s="12"/>
      <c r="DAK41" s="19"/>
      <c r="DAL41" s="16"/>
      <c r="DAM41" s="18"/>
      <c r="DAN41" s="13"/>
      <c r="DAO41" s="12"/>
      <c r="DAP41" s="18"/>
      <c r="DAQ41" s="12"/>
      <c r="DAR41" s="19"/>
      <c r="DAS41" s="16"/>
      <c r="DAT41" s="18"/>
      <c r="DAU41" s="13"/>
      <c r="DAV41" s="12"/>
      <c r="DAW41" s="18"/>
      <c r="DAX41" s="12"/>
      <c r="DAY41" s="19"/>
      <c r="DAZ41" s="16"/>
      <c r="DBA41" s="18"/>
      <c r="DBB41" s="13"/>
      <c r="DBC41" s="12"/>
      <c r="DBD41" s="18"/>
      <c r="DBE41" s="12"/>
      <c r="DBF41" s="19"/>
      <c r="DBG41" s="16"/>
      <c r="DBH41" s="18"/>
      <c r="DBI41" s="13"/>
      <c r="DBJ41" s="12"/>
      <c r="DBK41" s="18"/>
      <c r="DBL41" s="12"/>
      <c r="DBM41" s="19"/>
      <c r="DBN41" s="16"/>
      <c r="DBO41" s="18"/>
      <c r="DBP41" s="13"/>
      <c r="DBQ41" s="12"/>
      <c r="DBR41" s="18"/>
      <c r="DBS41" s="12"/>
      <c r="DBT41" s="19"/>
      <c r="DBU41" s="16"/>
      <c r="DBV41" s="18"/>
      <c r="DBW41" s="13"/>
      <c r="DBX41" s="12"/>
      <c r="DBY41" s="18"/>
      <c r="DBZ41" s="12"/>
      <c r="DCA41" s="19"/>
      <c r="DCB41" s="16"/>
      <c r="DCC41" s="18"/>
      <c r="DCD41" s="13"/>
      <c r="DCE41" s="12"/>
      <c r="DCF41" s="18"/>
      <c r="DCG41" s="12"/>
      <c r="DCH41" s="19"/>
      <c r="DCI41" s="16"/>
      <c r="DCJ41" s="18"/>
      <c r="DCK41" s="13"/>
      <c r="DCL41" s="12"/>
      <c r="DCM41" s="18"/>
      <c r="DCN41" s="12"/>
      <c r="DCO41" s="19"/>
      <c r="DCP41" s="16"/>
      <c r="DCQ41" s="18"/>
      <c r="DCR41" s="13"/>
      <c r="DCS41" s="12"/>
      <c r="DCT41" s="18"/>
      <c r="DCU41" s="12"/>
      <c r="DCV41" s="19"/>
      <c r="DCW41" s="16"/>
      <c r="DCX41" s="18"/>
      <c r="DCY41" s="13"/>
      <c r="DCZ41" s="12"/>
      <c r="DDA41" s="18"/>
      <c r="DDB41" s="12"/>
      <c r="DDC41" s="19"/>
      <c r="DDD41" s="16"/>
      <c r="DDE41" s="18"/>
      <c r="DDF41" s="13"/>
      <c r="DDG41" s="12"/>
      <c r="DDH41" s="18"/>
      <c r="DDI41" s="12"/>
      <c r="DDJ41" s="19"/>
      <c r="DDK41" s="16"/>
      <c r="DDL41" s="18"/>
      <c r="DDM41" s="13"/>
      <c r="DDN41" s="12"/>
      <c r="DDO41" s="18"/>
      <c r="DDP41" s="12"/>
      <c r="DDQ41" s="19"/>
      <c r="DDR41" s="16"/>
      <c r="DDS41" s="18"/>
      <c r="DDT41" s="13"/>
      <c r="DDU41" s="12"/>
      <c r="DDV41" s="18"/>
      <c r="DDW41" s="12"/>
      <c r="DDX41" s="19"/>
      <c r="DDY41" s="16"/>
      <c r="DDZ41" s="18"/>
      <c r="DEA41" s="13"/>
      <c r="DEB41" s="12"/>
      <c r="DEC41" s="18"/>
      <c r="DED41" s="12"/>
      <c r="DEE41" s="19"/>
      <c r="DEF41" s="16"/>
      <c r="DEG41" s="18"/>
      <c r="DEH41" s="13"/>
      <c r="DEI41" s="12"/>
      <c r="DEJ41" s="18"/>
      <c r="DEK41" s="12"/>
      <c r="DEL41" s="19"/>
      <c r="DEM41" s="16"/>
      <c r="DEN41" s="18"/>
      <c r="DEO41" s="13"/>
      <c r="DEP41" s="12"/>
      <c r="DEQ41" s="18"/>
      <c r="DER41" s="12"/>
      <c r="DES41" s="19"/>
      <c r="DET41" s="16"/>
      <c r="DEU41" s="18"/>
      <c r="DEV41" s="13"/>
      <c r="DEW41" s="12"/>
      <c r="DEX41" s="18"/>
      <c r="DEY41" s="12"/>
      <c r="DEZ41" s="19"/>
      <c r="DFA41" s="16"/>
      <c r="DFB41" s="18"/>
      <c r="DFC41" s="13"/>
      <c r="DFD41" s="12"/>
      <c r="DFE41" s="18"/>
      <c r="DFF41" s="12"/>
      <c r="DFG41" s="19"/>
      <c r="DFH41" s="16"/>
      <c r="DFI41" s="18"/>
      <c r="DFJ41" s="13"/>
      <c r="DFK41" s="12"/>
      <c r="DFL41" s="18"/>
      <c r="DFM41" s="12"/>
      <c r="DFN41" s="19"/>
      <c r="DFO41" s="16"/>
      <c r="DFP41" s="18"/>
      <c r="DFQ41" s="13"/>
      <c r="DFR41" s="12"/>
      <c r="DFS41" s="18"/>
      <c r="DFT41" s="12"/>
      <c r="DFU41" s="19"/>
      <c r="DFV41" s="16"/>
      <c r="DFW41" s="18"/>
      <c r="DFX41" s="13"/>
      <c r="DFY41" s="12"/>
      <c r="DFZ41" s="18"/>
      <c r="DGA41" s="12"/>
      <c r="DGB41" s="19"/>
      <c r="DGC41" s="16"/>
      <c r="DGD41" s="18"/>
      <c r="DGE41" s="13"/>
      <c r="DGF41" s="12"/>
      <c r="DGG41" s="18"/>
      <c r="DGH41" s="12"/>
      <c r="DGI41" s="19"/>
      <c r="DGJ41" s="16"/>
      <c r="DGK41" s="18"/>
      <c r="DGL41" s="13"/>
      <c r="DGM41" s="12"/>
      <c r="DGN41" s="18"/>
      <c r="DGO41" s="12"/>
      <c r="DGP41" s="19"/>
      <c r="DGQ41" s="16"/>
      <c r="DGR41" s="18"/>
      <c r="DGS41" s="13"/>
      <c r="DGT41" s="12"/>
      <c r="DGU41" s="18"/>
      <c r="DGV41" s="12"/>
      <c r="DGW41" s="19"/>
      <c r="DGX41" s="16"/>
      <c r="DGY41" s="18"/>
      <c r="DGZ41" s="13"/>
      <c r="DHA41" s="12"/>
      <c r="DHB41" s="18"/>
      <c r="DHC41" s="12"/>
      <c r="DHD41" s="19"/>
      <c r="DHE41" s="16"/>
      <c r="DHF41" s="18"/>
      <c r="DHG41" s="13"/>
      <c r="DHH41" s="12"/>
      <c r="DHI41" s="18"/>
      <c r="DHJ41" s="12"/>
      <c r="DHK41" s="19"/>
      <c r="DHL41" s="16"/>
      <c r="DHM41" s="18"/>
      <c r="DHN41" s="13"/>
      <c r="DHO41" s="12"/>
      <c r="DHP41" s="18"/>
      <c r="DHQ41" s="12"/>
      <c r="DHR41" s="19"/>
      <c r="DHS41" s="16"/>
      <c r="DHT41" s="18"/>
      <c r="DHU41" s="13"/>
      <c r="DHV41" s="12"/>
      <c r="DHW41" s="18"/>
      <c r="DHX41" s="12"/>
      <c r="DHY41" s="19"/>
      <c r="DHZ41" s="16"/>
      <c r="DIA41" s="18"/>
      <c r="DIB41" s="13"/>
      <c r="DIC41" s="12"/>
      <c r="DID41" s="18"/>
      <c r="DIE41" s="12"/>
      <c r="DIF41" s="19"/>
      <c r="DIG41" s="16"/>
      <c r="DIH41" s="18"/>
      <c r="DII41" s="13"/>
      <c r="DIJ41" s="12"/>
      <c r="DIK41" s="18"/>
      <c r="DIL41" s="12"/>
      <c r="DIM41" s="19"/>
      <c r="DIN41" s="16"/>
      <c r="DIO41" s="18"/>
      <c r="DIP41" s="13"/>
      <c r="DIQ41" s="12"/>
      <c r="DIR41" s="18"/>
      <c r="DIS41" s="12"/>
      <c r="DIT41" s="19"/>
      <c r="DIU41" s="16"/>
      <c r="DIV41" s="18"/>
      <c r="DIW41" s="13"/>
      <c r="DIX41" s="12"/>
      <c r="DIY41" s="18"/>
      <c r="DIZ41" s="12"/>
      <c r="DJA41" s="19"/>
      <c r="DJB41" s="16"/>
      <c r="DJC41" s="18"/>
      <c r="DJD41" s="13"/>
      <c r="DJE41" s="12"/>
      <c r="DJF41" s="18"/>
      <c r="DJG41" s="12"/>
      <c r="DJH41" s="19"/>
      <c r="DJI41" s="16"/>
      <c r="DJJ41" s="18"/>
      <c r="DJK41" s="13"/>
      <c r="DJL41" s="12"/>
      <c r="DJM41" s="18"/>
      <c r="DJN41" s="12"/>
      <c r="DJO41" s="19"/>
      <c r="DJP41" s="16"/>
      <c r="DJQ41" s="18"/>
      <c r="DJR41" s="13"/>
      <c r="DJS41" s="12"/>
      <c r="DJT41" s="18"/>
      <c r="DJU41" s="12"/>
      <c r="DJV41" s="19"/>
      <c r="DJW41" s="16"/>
      <c r="DJX41" s="18"/>
      <c r="DJY41" s="13"/>
      <c r="DJZ41" s="12"/>
      <c r="DKA41" s="18"/>
      <c r="DKB41" s="12"/>
      <c r="DKC41" s="19"/>
      <c r="DKD41" s="16"/>
      <c r="DKE41" s="18"/>
      <c r="DKF41" s="13"/>
      <c r="DKG41" s="12"/>
      <c r="DKH41" s="18"/>
      <c r="DKI41" s="12"/>
      <c r="DKJ41" s="19"/>
      <c r="DKK41" s="16"/>
      <c r="DKL41" s="18"/>
      <c r="DKM41" s="13"/>
      <c r="DKN41" s="12"/>
      <c r="DKO41" s="18"/>
      <c r="DKP41" s="12"/>
      <c r="DKQ41" s="19"/>
      <c r="DKR41" s="16"/>
      <c r="DKS41" s="18"/>
      <c r="DKT41" s="13"/>
      <c r="DKU41" s="12"/>
      <c r="DKV41" s="18"/>
      <c r="DKW41" s="12"/>
      <c r="DKX41" s="19"/>
      <c r="DKY41" s="16"/>
      <c r="DKZ41" s="18"/>
      <c r="DLA41" s="13"/>
      <c r="DLB41" s="12"/>
      <c r="DLC41" s="18"/>
      <c r="DLD41" s="12"/>
      <c r="DLE41" s="19"/>
      <c r="DLF41" s="16"/>
      <c r="DLG41" s="18"/>
      <c r="DLH41" s="13"/>
      <c r="DLI41" s="12"/>
      <c r="DLJ41" s="18"/>
      <c r="DLK41" s="12"/>
      <c r="DLL41" s="19"/>
      <c r="DLM41" s="16"/>
      <c r="DLN41" s="18"/>
      <c r="DLO41" s="13"/>
      <c r="DLP41" s="12"/>
      <c r="DLQ41" s="18"/>
      <c r="DLR41" s="12"/>
      <c r="DLS41" s="19"/>
      <c r="DLT41" s="16"/>
      <c r="DLU41" s="18"/>
      <c r="DLV41" s="13"/>
      <c r="DLW41" s="12"/>
      <c r="DLX41" s="18"/>
      <c r="DLY41" s="12"/>
      <c r="DLZ41" s="19"/>
      <c r="DMA41" s="16"/>
      <c r="DMB41" s="18"/>
      <c r="DMC41" s="13"/>
      <c r="DMD41" s="12"/>
      <c r="DME41" s="18"/>
      <c r="DMF41" s="12"/>
      <c r="DMG41" s="19"/>
      <c r="DMH41" s="16"/>
      <c r="DMI41" s="18"/>
      <c r="DMJ41" s="13"/>
      <c r="DMK41" s="12"/>
      <c r="DML41" s="18"/>
      <c r="DMM41" s="12"/>
      <c r="DMN41" s="19"/>
      <c r="DMO41" s="16"/>
      <c r="DMP41" s="18"/>
      <c r="DMQ41" s="13"/>
      <c r="DMR41" s="12"/>
      <c r="DMS41" s="18"/>
      <c r="DMT41" s="12"/>
      <c r="DMU41" s="19"/>
      <c r="DMV41" s="16"/>
      <c r="DMW41" s="18"/>
      <c r="DMX41" s="13"/>
      <c r="DMY41" s="12"/>
      <c r="DMZ41" s="18"/>
      <c r="DNA41" s="12"/>
      <c r="DNB41" s="19"/>
      <c r="DNC41" s="16"/>
      <c r="DND41" s="18"/>
      <c r="DNE41" s="13"/>
      <c r="DNF41" s="12"/>
      <c r="DNG41" s="18"/>
      <c r="DNH41" s="12"/>
      <c r="DNI41" s="19"/>
      <c r="DNJ41" s="16"/>
      <c r="DNK41" s="18"/>
      <c r="DNL41" s="13"/>
      <c r="DNM41" s="12"/>
      <c r="DNN41" s="18"/>
      <c r="DNO41" s="12"/>
      <c r="DNP41" s="19"/>
      <c r="DNQ41" s="16"/>
      <c r="DNR41" s="18"/>
      <c r="DNS41" s="13"/>
      <c r="DNT41" s="12"/>
      <c r="DNU41" s="18"/>
      <c r="DNV41" s="12"/>
      <c r="DNW41" s="19"/>
      <c r="DNX41" s="16"/>
      <c r="DNY41" s="18"/>
      <c r="DNZ41" s="13"/>
      <c r="DOA41" s="12"/>
      <c r="DOB41" s="18"/>
      <c r="DOC41" s="12"/>
      <c r="DOD41" s="19"/>
      <c r="DOE41" s="16"/>
      <c r="DOF41" s="18"/>
      <c r="DOG41" s="13"/>
      <c r="DOH41" s="12"/>
      <c r="DOI41" s="18"/>
      <c r="DOJ41" s="12"/>
      <c r="DOK41" s="19"/>
      <c r="DOL41" s="16"/>
      <c r="DOM41" s="18"/>
      <c r="DON41" s="13"/>
      <c r="DOO41" s="12"/>
      <c r="DOP41" s="18"/>
      <c r="DOQ41" s="12"/>
      <c r="DOR41" s="19"/>
      <c r="DOS41" s="16"/>
      <c r="DOT41" s="18"/>
      <c r="DOU41" s="13"/>
      <c r="DOV41" s="12"/>
      <c r="DOW41" s="18"/>
      <c r="DOX41" s="12"/>
      <c r="DOY41" s="19"/>
      <c r="DOZ41" s="16"/>
      <c r="DPA41" s="18"/>
      <c r="DPB41" s="13"/>
      <c r="DPC41" s="12"/>
      <c r="DPD41" s="18"/>
      <c r="DPE41" s="12"/>
      <c r="DPF41" s="19"/>
      <c r="DPG41" s="16"/>
      <c r="DPH41" s="18"/>
      <c r="DPI41" s="13"/>
      <c r="DPJ41" s="12"/>
      <c r="DPK41" s="18"/>
      <c r="DPL41" s="12"/>
      <c r="DPM41" s="19"/>
      <c r="DPN41" s="16"/>
      <c r="DPO41" s="18"/>
      <c r="DPP41" s="13"/>
      <c r="DPQ41" s="12"/>
      <c r="DPR41" s="18"/>
      <c r="DPS41" s="12"/>
      <c r="DPT41" s="19"/>
      <c r="DPU41" s="16"/>
      <c r="DPV41" s="18"/>
      <c r="DPW41" s="13"/>
      <c r="DPX41" s="12"/>
      <c r="DPY41" s="18"/>
      <c r="DPZ41" s="12"/>
      <c r="DQA41" s="19"/>
      <c r="DQB41" s="16"/>
      <c r="DQC41" s="18"/>
      <c r="DQD41" s="13"/>
      <c r="DQE41" s="12"/>
      <c r="DQF41" s="18"/>
      <c r="DQG41" s="12"/>
      <c r="DQH41" s="19"/>
      <c r="DQI41" s="16"/>
      <c r="DQJ41" s="18"/>
      <c r="DQK41" s="13"/>
      <c r="DQL41" s="12"/>
      <c r="DQM41" s="18"/>
      <c r="DQN41" s="12"/>
      <c r="DQO41" s="19"/>
      <c r="DQP41" s="16"/>
      <c r="DQQ41" s="18"/>
      <c r="DQR41" s="13"/>
      <c r="DQS41" s="12"/>
      <c r="DQT41" s="18"/>
      <c r="DQU41" s="12"/>
      <c r="DQV41" s="19"/>
      <c r="DQW41" s="16"/>
      <c r="DQX41" s="18"/>
      <c r="DQY41" s="13"/>
      <c r="DQZ41" s="12"/>
      <c r="DRA41" s="18"/>
      <c r="DRB41" s="12"/>
      <c r="DRC41" s="19"/>
      <c r="DRD41" s="16"/>
      <c r="DRE41" s="18"/>
      <c r="DRF41" s="13"/>
      <c r="DRG41" s="12"/>
      <c r="DRH41" s="18"/>
      <c r="DRI41" s="12"/>
      <c r="DRJ41" s="19"/>
      <c r="DRK41" s="16"/>
      <c r="DRL41" s="18"/>
      <c r="DRM41" s="13"/>
      <c r="DRN41" s="12"/>
      <c r="DRO41" s="18"/>
      <c r="DRP41" s="12"/>
      <c r="DRQ41" s="19"/>
      <c r="DRR41" s="16"/>
      <c r="DRS41" s="18"/>
      <c r="DRT41" s="13"/>
      <c r="DRU41" s="12"/>
      <c r="DRV41" s="18"/>
      <c r="DRW41" s="12"/>
      <c r="DRX41" s="19"/>
      <c r="DRY41" s="16"/>
      <c r="DRZ41" s="18"/>
      <c r="DSA41" s="13"/>
      <c r="DSB41" s="12"/>
      <c r="DSC41" s="18"/>
      <c r="DSD41" s="12"/>
      <c r="DSE41" s="19"/>
      <c r="DSF41" s="16"/>
      <c r="DSG41" s="18"/>
      <c r="DSH41" s="13"/>
      <c r="DSI41" s="12"/>
      <c r="DSJ41" s="18"/>
      <c r="DSK41" s="12"/>
      <c r="DSL41" s="19"/>
      <c r="DSM41" s="16"/>
      <c r="DSN41" s="18"/>
      <c r="DSO41" s="13"/>
      <c r="DSP41" s="12"/>
      <c r="DSQ41" s="18"/>
      <c r="DSR41" s="12"/>
      <c r="DSS41" s="19"/>
      <c r="DST41" s="16"/>
      <c r="DSU41" s="18"/>
      <c r="DSV41" s="13"/>
      <c r="DSW41" s="12"/>
      <c r="DSX41" s="18"/>
      <c r="DSY41" s="12"/>
      <c r="DSZ41" s="19"/>
      <c r="DTA41" s="16"/>
      <c r="DTB41" s="18"/>
      <c r="DTC41" s="13"/>
      <c r="DTD41" s="12"/>
      <c r="DTE41" s="18"/>
      <c r="DTF41" s="12"/>
      <c r="DTG41" s="19"/>
      <c r="DTH41" s="16"/>
      <c r="DTI41" s="18"/>
      <c r="DTJ41" s="13"/>
      <c r="DTK41" s="12"/>
      <c r="DTL41" s="18"/>
      <c r="DTM41" s="12"/>
      <c r="DTN41" s="19"/>
      <c r="DTO41" s="16"/>
      <c r="DTP41" s="18"/>
      <c r="DTQ41" s="13"/>
      <c r="DTR41" s="12"/>
      <c r="DTS41" s="18"/>
      <c r="DTT41" s="12"/>
      <c r="DTU41" s="19"/>
      <c r="DTV41" s="16"/>
      <c r="DTW41" s="18"/>
      <c r="DTX41" s="13"/>
      <c r="DTY41" s="12"/>
      <c r="DTZ41" s="18"/>
      <c r="DUA41" s="12"/>
      <c r="DUB41" s="19"/>
      <c r="DUC41" s="16"/>
      <c r="DUD41" s="18"/>
      <c r="DUE41" s="13"/>
      <c r="DUF41" s="12"/>
      <c r="DUG41" s="18"/>
      <c r="DUH41" s="12"/>
      <c r="DUI41" s="19"/>
      <c r="DUJ41" s="16"/>
      <c r="DUK41" s="18"/>
      <c r="DUL41" s="13"/>
      <c r="DUM41" s="12"/>
      <c r="DUN41" s="18"/>
      <c r="DUO41" s="12"/>
      <c r="DUP41" s="19"/>
      <c r="DUQ41" s="16"/>
      <c r="DUR41" s="18"/>
      <c r="DUS41" s="13"/>
      <c r="DUT41" s="12"/>
      <c r="DUU41" s="18"/>
      <c r="DUV41" s="12"/>
      <c r="DUW41" s="19"/>
      <c r="DUX41" s="16"/>
      <c r="DUY41" s="18"/>
      <c r="DUZ41" s="13"/>
      <c r="DVA41" s="12"/>
      <c r="DVB41" s="18"/>
      <c r="DVC41" s="12"/>
      <c r="DVD41" s="19"/>
      <c r="DVE41" s="16"/>
      <c r="DVF41" s="18"/>
      <c r="DVG41" s="13"/>
      <c r="DVH41" s="12"/>
      <c r="DVI41" s="18"/>
      <c r="DVJ41" s="12"/>
      <c r="DVK41" s="19"/>
      <c r="DVL41" s="16"/>
      <c r="DVM41" s="18"/>
      <c r="DVN41" s="13"/>
      <c r="DVO41" s="12"/>
      <c r="DVP41" s="18"/>
      <c r="DVQ41" s="12"/>
      <c r="DVR41" s="19"/>
      <c r="DVS41" s="16"/>
      <c r="DVT41" s="18"/>
      <c r="DVU41" s="13"/>
      <c r="DVV41" s="12"/>
      <c r="DVW41" s="18"/>
      <c r="DVX41" s="12"/>
      <c r="DVY41" s="19"/>
      <c r="DVZ41" s="16"/>
      <c r="DWA41" s="18"/>
      <c r="DWB41" s="13"/>
      <c r="DWC41" s="12"/>
      <c r="DWD41" s="18"/>
      <c r="DWE41" s="12"/>
      <c r="DWF41" s="19"/>
      <c r="DWG41" s="16"/>
      <c r="DWH41" s="18"/>
      <c r="DWI41" s="13"/>
      <c r="DWJ41" s="12"/>
      <c r="DWK41" s="18"/>
      <c r="DWL41" s="12"/>
      <c r="DWM41" s="19"/>
      <c r="DWN41" s="16"/>
      <c r="DWO41" s="18"/>
      <c r="DWP41" s="13"/>
      <c r="DWQ41" s="12"/>
      <c r="DWR41" s="18"/>
      <c r="DWS41" s="12"/>
      <c r="DWT41" s="19"/>
      <c r="DWU41" s="16"/>
      <c r="DWV41" s="18"/>
      <c r="DWW41" s="13"/>
      <c r="DWX41" s="12"/>
      <c r="DWY41" s="18"/>
      <c r="DWZ41" s="12"/>
      <c r="DXA41" s="19"/>
      <c r="DXB41" s="16"/>
      <c r="DXC41" s="18"/>
      <c r="DXD41" s="13"/>
      <c r="DXE41" s="12"/>
      <c r="DXF41" s="18"/>
      <c r="DXG41" s="12"/>
      <c r="DXH41" s="19"/>
      <c r="DXI41" s="16"/>
      <c r="DXJ41" s="18"/>
      <c r="DXK41" s="13"/>
      <c r="DXL41" s="12"/>
      <c r="DXM41" s="18"/>
      <c r="DXN41" s="12"/>
      <c r="DXO41" s="19"/>
      <c r="DXP41" s="16"/>
      <c r="DXQ41" s="18"/>
      <c r="DXR41" s="13"/>
      <c r="DXS41" s="12"/>
      <c r="DXT41" s="18"/>
      <c r="DXU41" s="12"/>
      <c r="DXV41" s="19"/>
      <c r="DXW41" s="16"/>
      <c r="DXX41" s="18"/>
      <c r="DXY41" s="13"/>
      <c r="DXZ41" s="12"/>
      <c r="DYA41" s="18"/>
      <c r="DYB41" s="12"/>
      <c r="DYC41" s="19"/>
      <c r="DYD41" s="16"/>
      <c r="DYE41" s="18"/>
      <c r="DYF41" s="13"/>
      <c r="DYG41" s="12"/>
      <c r="DYH41" s="18"/>
      <c r="DYI41" s="12"/>
      <c r="DYJ41" s="19"/>
      <c r="DYK41" s="16"/>
      <c r="DYL41" s="18"/>
      <c r="DYM41" s="13"/>
      <c r="DYN41" s="12"/>
      <c r="DYO41" s="18"/>
      <c r="DYP41" s="12"/>
      <c r="DYQ41" s="19"/>
      <c r="DYR41" s="16"/>
      <c r="DYS41" s="18"/>
      <c r="DYT41" s="13"/>
      <c r="DYU41" s="12"/>
      <c r="DYV41" s="18"/>
      <c r="DYW41" s="12"/>
      <c r="DYX41" s="19"/>
      <c r="DYY41" s="16"/>
      <c r="DYZ41" s="18"/>
      <c r="DZA41" s="13"/>
      <c r="DZB41" s="12"/>
      <c r="DZC41" s="18"/>
      <c r="DZD41" s="12"/>
      <c r="DZE41" s="19"/>
      <c r="DZF41" s="16"/>
      <c r="DZG41" s="18"/>
      <c r="DZH41" s="13"/>
      <c r="DZI41" s="12"/>
      <c r="DZJ41" s="18"/>
      <c r="DZK41" s="12"/>
      <c r="DZL41" s="19"/>
      <c r="DZM41" s="16"/>
      <c r="DZN41" s="18"/>
      <c r="DZO41" s="13"/>
      <c r="DZP41" s="12"/>
      <c r="DZQ41" s="18"/>
      <c r="DZR41" s="12"/>
      <c r="DZS41" s="19"/>
      <c r="DZT41" s="16"/>
      <c r="DZU41" s="18"/>
      <c r="DZV41" s="13"/>
      <c r="DZW41" s="12"/>
      <c r="DZX41" s="18"/>
      <c r="DZY41" s="12"/>
      <c r="DZZ41" s="19"/>
      <c r="EAA41" s="16"/>
      <c r="EAB41" s="18"/>
      <c r="EAC41" s="13"/>
      <c r="EAD41" s="12"/>
      <c r="EAE41" s="18"/>
      <c r="EAF41" s="12"/>
      <c r="EAG41" s="19"/>
      <c r="EAH41" s="16"/>
      <c r="EAI41" s="18"/>
      <c r="EAJ41" s="13"/>
      <c r="EAK41" s="12"/>
      <c r="EAL41" s="18"/>
      <c r="EAM41" s="12"/>
      <c r="EAN41" s="19"/>
      <c r="EAO41" s="16"/>
      <c r="EAP41" s="18"/>
      <c r="EAQ41" s="13"/>
      <c r="EAR41" s="12"/>
      <c r="EAS41" s="18"/>
      <c r="EAT41" s="12"/>
      <c r="EAU41" s="19"/>
      <c r="EAV41" s="16"/>
      <c r="EAW41" s="18"/>
      <c r="EAX41" s="13"/>
      <c r="EAY41" s="12"/>
      <c r="EAZ41" s="18"/>
      <c r="EBA41" s="12"/>
      <c r="EBB41" s="19"/>
      <c r="EBC41" s="16"/>
      <c r="EBD41" s="18"/>
      <c r="EBE41" s="13"/>
      <c r="EBF41" s="12"/>
      <c r="EBG41" s="18"/>
      <c r="EBH41" s="12"/>
      <c r="EBI41" s="19"/>
      <c r="EBJ41" s="16"/>
      <c r="EBK41" s="18"/>
      <c r="EBL41" s="13"/>
      <c r="EBM41" s="12"/>
      <c r="EBN41" s="18"/>
      <c r="EBO41" s="12"/>
      <c r="EBP41" s="19"/>
      <c r="EBQ41" s="16"/>
      <c r="EBR41" s="18"/>
      <c r="EBS41" s="13"/>
      <c r="EBT41" s="12"/>
      <c r="EBU41" s="18"/>
      <c r="EBV41" s="12"/>
      <c r="EBW41" s="19"/>
      <c r="EBX41" s="16"/>
      <c r="EBY41" s="18"/>
      <c r="EBZ41" s="13"/>
      <c r="ECA41" s="12"/>
      <c r="ECB41" s="18"/>
      <c r="ECC41" s="12"/>
      <c r="ECD41" s="19"/>
      <c r="ECE41" s="16"/>
      <c r="ECF41" s="18"/>
      <c r="ECG41" s="13"/>
      <c r="ECH41" s="12"/>
      <c r="ECI41" s="18"/>
      <c r="ECJ41" s="12"/>
      <c r="ECK41" s="19"/>
      <c r="ECL41" s="16"/>
      <c r="ECM41" s="18"/>
      <c r="ECN41" s="13"/>
      <c r="ECO41" s="12"/>
      <c r="ECP41" s="18"/>
      <c r="ECQ41" s="12"/>
      <c r="ECR41" s="19"/>
      <c r="ECS41" s="16"/>
      <c r="ECT41" s="18"/>
      <c r="ECU41" s="13"/>
      <c r="ECV41" s="12"/>
      <c r="ECW41" s="18"/>
      <c r="ECX41" s="12"/>
      <c r="ECY41" s="19"/>
      <c r="ECZ41" s="16"/>
      <c r="EDA41" s="18"/>
      <c r="EDB41" s="13"/>
      <c r="EDC41" s="12"/>
      <c r="EDD41" s="18"/>
      <c r="EDE41" s="12"/>
      <c r="EDF41" s="19"/>
      <c r="EDG41" s="16"/>
      <c r="EDH41" s="18"/>
      <c r="EDI41" s="13"/>
      <c r="EDJ41" s="12"/>
      <c r="EDK41" s="18"/>
      <c r="EDL41" s="12"/>
      <c r="EDM41" s="19"/>
      <c r="EDN41" s="16"/>
      <c r="EDO41" s="18"/>
      <c r="EDP41" s="13"/>
      <c r="EDQ41" s="12"/>
      <c r="EDR41" s="18"/>
      <c r="EDS41" s="12"/>
      <c r="EDT41" s="19"/>
      <c r="EDU41" s="16"/>
      <c r="EDV41" s="18"/>
      <c r="EDW41" s="13"/>
      <c r="EDX41" s="12"/>
      <c r="EDY41" s="18"/>
      <c r="EDZ41" s="12"/>
      <c r="EEA41" s="19"/>
      <c r="EEB41" s="16"/>
      <c r="EEC41" s="18"/>
      <c r="EED41" s="13"/>
      <c r="EEE41" s="12"/>
      <c r="EEF41" s="18"/>
      <c r="EEG41" s="12"/>
      <c r="EEH41" s="19"/>
      <c r="EEI41" s="16"/>
      <c r="EEJ41" s="18"/>
      <c r="EEK41" s="13"/>
      <c r="EEL41" s="12"/>
      <c r="EEM41" s="18"/>
      <c r="EEN41" s="12"/>
      <c r="EEO41" s="19"/>
      <c r="EEP41" s="16"/>
      <c r="EEQ41" s="18"/>
      <c r="EER41" s="13"/>
      <c r="EES41" s="12"/>
      <c r="EET41" s="18"/>
      <c r="EEU41" s="12"/>
      <c r="EEV41" s="19"/>
      <c r="EEW41" s="16"/>
      <c r="EEX41" s="18"/>
      <c r="EEY41" s="13"/>
      <c r="EEZ41" s="12"/>
      <c r="EFA41" s="18"/>
      <c r="EFB41" s="12"/>
      <c r="EFC41" s="19"/>
      <c r="EFD41" s="16"/>
      <c r="EFE41" s="18"/>
      <c r="EFF41" s="13"/>
      <c r="EFG41" s="12"/>
      <c r="EFH41" s="18"/>
      <c r="EFI41" s="12"/>
      <c r="EFJ41" s="19"/>
      <c r="EFK41" s="16"/>
      <c r="EFL41" s="18"/>
      <c r="EFM41" s="13"/>
      <c r="EFN41" s="12"/>
      <c r="EFO41" s="18"/>
      <c r="EFP41" s="12"/>
      <c r="EFQ41" s="19"/>
      <c r="EFR41" s="16"/>
      <c r="EFS41" s="18"/>
      <c r="EFT41" s="13"/>
      <c r="EFU41" s="12"/>
      <c r="EFV41" s="18"/>
      <c r="EFW41" s="12"/>
      <c r="EFX41" s="19"/>
      <c r="EFY41" s="16"/>
      <c r="EFZ41" s="18"/>
      <c r="EGA41" s="13"/>
      <c r="EGB41" s="12"/>
      <c r="EGC41" s="18"/>
      <c r="EGD41" s="12"/>
      <c r="EGE41" s="19"/>
      <c r="EGF41" s="16"/>
      <c r="EGG41" s="18"/>
      <c r="EGH41" s="13"/>
      <c r="EGI41" s="12"/>
      <c r="EGJ41" s="18"/>
      <c r="EGK41" s="12"/>
      <c r="EGL41" s="19"/>
      <c r="EGM41" s="16"/>
      <c r="EGN41" s="18"/>
      <c r="EGO41" s="13"/>
      <c r="EGP41" s="12"/>
      <c r="EGQ41" s="18"/>
      <c r="EGR41" s="12"/>
      <c r="EGS41" s="19"/>
      <c r="EGT41" s="16"/>
      <c r="EGU41" s="18"/>
      <c r="EGV41" s="13"/>
      <c r="EGW41" s="12"/>
      <c r="EGX41" s="18"/>
      <c r="EGY41" s="12"/>
      <c r="EGZ41" s="19"/>
      <c r="EHA41" s="16"/>
      <c r="EHB41" s="18"/>
      <c r="EHC41" s="13"/>
      <c r="EHD41" s="12"/>
      <c r="EHE41" s="18"/>
      <c r="EHF41" s="12"/>
      <c r="EHG41" s="19"/>
      <c r="EHH41" s="16"/>
      <c r="EHI41" s="18"/>
      <c r="EHJ41" s="13"/>
      <c r="EHK41" s="12"/>
      <c r="EHL41" s="18"/>
      <c r="EHM41" s="12"/>
      <c r="EHN41" s="19"/>
      <c r="EHO41" s="16"/>
      <c r="EHP41" s="18"/>
      <c r="EHQ41" s="13"/>
      <c r="EHR41" s="12"/>
      <c r="EHS41" s="18"/>
      <c r="EHT41" s="12"/>
      <c r="EHU41" s="19"/>
      <c r="EHV41" s="16"/>
      <c r="EHW41" s="18"/>
      <c r="EHX41" s="13"/>
      <c r="EHY41" s="12"/>
      <c r="EHZ41" s="18"/>
      <c r="EIA41" s="12"/>
      <c r="EIB41" s="19"/>
      <c r="EIC41" s="16"/>
      <c r="EID41" s="18"/>
      <c r="EIE41" s="13"/>
      <c r="EIF41" s="12"/>
      <c r="EIG41" s="18"/>
      <c r="EIH41" s="12"/>
      <c r="EII41" s="19"/>
      <c r="EIJ41" s="16"/>
      <c r="EIK41" s="18"/>
      <c r="EIL41" s="13"/>
      <c r="EIM41" s="12"/>
      <c r="EIN41" s="18"/>
      <c r="EIO41" s="12"/>
      <c r="EIP41" s="19"/>
      <c r="EIQ41" s="16"/>
      <c r="EIR41" s="18"/>
      <c r="EIS41" s="13"/>
      <c r="EIT41" s="12"/>
      <c r="EIU41" s="18"/>
      <c r="EIV41" s="12"/>
      <c r="EIW41" s="19"/>
      <c r="EIX41" s="16"/>
      <c r="EIY41" s="18"/>
      <c r="EIZ41" s="13"/>
      <c r="EJA41" s="12"/>
      <c r="EJB41" s="18"/>
      <c r="EJC41" s="12"/>
      <c r="EJD41" s="19"/>
      <c r="EJE41" s="16"/>
      <c r="EJF41" s="18"/>
      <c r="EJG41" s="13"/>
      <c r="EJH41" s="12"/>
      <c r="EJI41" s="18"/>
      <c r="EJJ41" s="12"/>
      <c r="EJK41" s="19"/>
      <c r="EJL41" s="16"/>
      <c r="EJM41" s="18"/>
      <c r="EJN41" s="13"/>
      <c r="EJO41" s="12"/>
      <c r="EJP41" s="18"/>
      <c r="EJQ41" s="12"/>
      <c r="EJR41" s="19"/>
      <c r="EJS41" s="16"/>
      <c r="EJT41" s="18"/>
      <c r="EJU41" s="13"/>
      <c r="EJV41" s="12"/>
      <c r="EJW41" s="18"/>
      <c r="EJX41" s="12"/>
      <c r="EJY41" s="19"/>
      <c r="EJZ41" s="16"/>
      <c r="EKA41" s="18"/>
      <c r="EKB41" s="13"/>
      <c r="EKC41" s="12"/>
      <c r="EKD41" s="18"/>
      <c r="EKE41" s="12"/>
      <c r="EKF41" s="19"/>
      <c r="EKG41" s="16"/>
      <c r="EKH41" s="18"/>
      <c r="EKI41" s="13"/>
      <c r="EKJ41" s="12"/>
      <c r="EKK41" s="18"/>
      <c r="EKL41" s="12"/>
      <c r="EKM41" s="19"/>
      <c r="EKN41" s="16"/>
      <c r="EKO41" s="18"/>
      <c r="EKP41" s="13"/>
      <c r="EKQ41" s="12"/>
      <c r="EKR41" s="18"/>
      <c r="EKS41" s="12"/>
      <c r="EKT41" s="19"/>
      <c r="EKU41" s="16"/>
      <c r="EKV41" s="18"/>
      <c r="EKW41" s="13"/>
      <c r="EKX41" s="12"/>
      <c r="EKY41" s="18"/>
      <c r="EKZ41" s="12"/>
      <c r="ELA41" s="19"/>
      <c r="ELB41" s="16"/>
      <c r="ELC41" s="18"/>
      <c r="ELD41" s="13"/>
      <c r="ELE41" s="12"/>
      <c r="ELF41" s="18"/>
      <c r="ELG41" s="12"/>
      <c r="ELH41" s="19"/>
      <c r="ELI41" s="16"/>
      <c r="ELJ41" s="18"/>
      <c r="ELK41" s="13"/>
      <c r="ELL41" s="12"/>
      <c r="ELM41" s="18"/>
      <c r="ELN41" s="12"/>
      <c r="ELO41" s="19"/>
      <c r="ELP41" s="16"/>
      <c r="ELQ41" s="18"/>
      <c r="ELR41" s="13"/>
      <c r="ELS41" s="12"/>
      <c r="ELT41" s="18"/>
      <c r="ELU41" s="12"/>
      <c r="ELV41" s="19"/>
      <c r="ELW41" s="16"/>
      <c r="ELX41" s="18"/>
      <c r="ELY41" s="13"/>
      <c r="ELZ41" s="12"/>
      <c r="EMA41" s="18"/>
      <c r="EMB41" s="12"/>
      <c r="EMC41" s="19"/>
      <c r="EMD41" s="16"/>
      <c r="EME41" s="18"/>
      <c r="EMF41" s="13"/>
      <c r="EMG41" s="12"/>
      <c r="EMH41" s="18"/>
      <c r="EMI41" s="12"/>
      <c r="EMJ41" s="19"/>
      <c r="EMK41" s="16"/>
      <c r="EML41" s="18"/>
      <c r="EMM41" s="13"/>
      <c r="EMN41" s="12"/>
      <c r="EMO41" s="18"/>
      <c r="EMP41" s="12"/>
      <c r="EMQ41" s="19"/>
      <c r="EMR41" s="16"/>
      <c r="EMS41" s="18"/>
      <c r="EMT41" s="13"/>
      <c r="EMU41" s="12"/>
      <c r="EMV41" s="18"/>
      <c r="EMW41" s="12"/>
      <c r="EMX41" s="19"/>
      <c r="EMY41" s="16"/>
      <c r="EMZ41" s="18"/>
      <c r="ENA41" s="13"/>
      <c r="ENB41" s="12"/>
      <c r="ENC41" s="18"/>
      <c r="END41" s="12"/>
      <c r="ENE41" s="19"/>
      <c r="ENF41" s="16"/>
      <c r="ENG41" s="18"/>
      <c r="ENH41" s="13"/>
      <c r="ENI41" s="12"/>
      <c r="ENJ41" s="18"/>
      <c r="ENK41" s="12"/>
      <c r="ENL41" s="19"/>
      <c r="ENM41" s="16"/>
      <c r="ENN41" s="18"/>
      <c r="ENO41" s="13"/>
      <c r="ENP41" s="12"/>
      <c r="ENQ41" s="18"/>
      <c r="ENR41" s="12"/>
      <c r="ENS41" s="19"/>
      <c r="ENT41" s="16"/>
      <c r="ENU41" s="18"/>
      <c r="ENV41" s="13"/>
      <c r="ENW41" s="12"/>
      <c r="ENX41" s="18"/>
      <c r="ENY41" s="12"/>
      <c r="ENZ41" s="19"/>
      <c r="EOA41" s="16"/>
      <c r="EOB41" s="18"/>
      <c r="EOC41" s="13"/>
      <c r="EOD41" s="12"/>
      <c r="EOE41" s="18"/>
      <c r="EOF41" s="12"/>
      <c r="EOG41" s="19"/>
      <c r="EOH41" s="16"/>
      <c r="EOI41" s="18"/>
      <c r="EOJ41" s="13"/>
      <c r="EOK41" s="12"/>
      <c r="EOL41" s="18"/>
      <c r="EOM41" s="12"/>
      <c r="EON41" s="19"/>
      <c r="EOO41" s="16"/>
      <c r="EOP41" s="18"/>
      <c r="EOQ41" s="13"/>
      <c r="EOR41" s="12"/>
      <c r="EOS41" s="18"/>
      <c r="EOT41" s="12"/>
      <c r="EOU41" s="19"/>
      <c r="EOV41" s="16"/>
      <c r="EOW41" s="18"/>
      <c r="EOX41" s="13"/>
      <c r="EOY41" s="12"/>
      <c r="EOZ41" s="18"/>
      <c r="EPA41" s="12"/>
      <c r="EPB41" s="19"/>
      <c r="EPC41" s="16"/>
      <c r="EPD41" s="18"/>
      <c r="EPE41" s="13"/>
      <c r="EPF41" s="12"/>
      <c r="EPG41" s="18"/>
      <c r="EPH41" s="12"/>
      <c r="EPI41" s="19"/>
      <c r="EPJ41" s="16"/>
      <c r="EPK41" s="18"/>
      <c r="EPL41" s="13"/>
      <c r="EPM41" s="12"/>
      <c r="EPN41" s="18"/>
      <c r="EPO41" s="12"/>
      <c r="EPP41" s="19"/>
      <c r="EPQ41" s="16"/>
      <c r="EPR41" s="18"/>
      <c r="EPS41" s="13"/>
      <c r="EPT41" s="12"/>
      <c r="EPU41" s="18"/>
      <c r="EPV41" s="12"/>
      <c r="EPW41" s="19"/>
      <c r="EPX41" s="16"/>
      <c r="EPY41" s="18"/>
      <c r="EPZ41" s="13"/>
      <c r="EQA41" s="12"/>
      <c r="EQB41" s="18"/>
      <c r="EQC41" s="12"/>
      <c r="EQD41" s="19"/>
      <c r="EQE41" s="16"/>
      <c r="EQF41" s="18"/>
      <c r="EQG41" s="13"/>
      <c r="EQH41" s="12"/>
      <c r="EQI41" s="18"/>
      <c r="EQJ41" s="12"/>
      <c r="EQK41" s="19"/>
      <c r="EQL41" s="16"/>
      <c r="EQM41" s="18"/>
      <c r="EQN41" s="13"/>
      <c r="EQO41" s="12"/>
      <c r="EQP41" s="18"/>
      <c r="EQQ41" s="12"/>
      <c r="EQR41" s="19"/>
      <c r="EQS41" s="16"/>
      <c r="EQT41" s="18"/>
      <c r="EQU41" s="13"/>
      <c r="EQV41" s="12"/>
      <c r="EQW41" s="18"/>
      <c r="EQX41" s="12"/>
      <c r="EQY41" s="19"/>
      <c r="EQZ41" s="16"/>
      <c r="ERA41" s="18"/>
      <c r="ERB41" s="13"/>
      <c r="ERC41" s="12"/>
      <c r="ERD41" s="18"/>
      <c r="ERE41" s="12"/>
      <c r="ERF41" s="19"/>
      <c r="ERG41" s="16"/>
      <c r="ERH41" s="18"/>
      <c r="ERI41" s="13"/>
      <c r="ERJ41" s="12"/>
      <c r="ERK41" s="18"/>
      <c r="ERL41" s="12"/>
      <c r="ERM41" s="19"/>
      <c r="ERN41" s="16"/>
      <c r="ERO41" s="18"/>
      <c r="ERP41" s="13"/>
      <c r="ERQ41" s="12"/>
      <c r="ERR41" s="18"/>
      <c r="ERS41" s="12"/>
      <c r="ERT41" s="19"/>
      <c r="ERU41" s="16"/>
      <c r="ERV41" s="18"/>
      <c r="ERW41" s="13"/>
      <c r="ERX41" s="12"/>
      <c r="ERY41" s="18"/>
      <c r="ERZ41" s="12"/>
      <c r="ESA41" s="19"/>
      <c r="ESB41" s="16"/>
      <c r="ESC41" s="18"/>
      <c r="ESD41" s="13"/>
      <c r="ESE41" s="12"/>
      <c r="ESF41" s="18"/>
      <c r="ESG41" s="12"/>
      <c r="ESH41" s="19"/>
      <c r="ESI41" s="16"/>
      <c r="ESJ41" s="18"/>
      <c r="ESK41" s="13"/>
      <c r="ESL41" s="12"/>
      <c r="ESM41" s="18"/>
      <c r="ESN41" s="12"/>
      <c r="ESO41" s="19"/>
      <c r="ESP41" s="16"/>
      <c r="ESQ41" s="18"/>
      <c r="ESR41" s="13"/>
      <c r="ESS41" s="12"/>
      <c r="EST41" s="18"/>
      <c r="ESU41" s="12"/>
      <c r="ESV41" s="19"/>
      <c r="ESW41" s="16"/>
      <c r="ESX41" s="18"/>
      <c r="ESY41" s="13"/>
      <c r="ESZ41" s="12"/>
      <c r="ETA41" s="18"/>
      <c r="ETB41" s="12"/>
      <c r="ETC41" s="19"/>
      <c r="ETD41" s="16"/>
      <c r="ETE41" s="18"/>
      <c r="ETF41" s="13"/>
      <c r="ETG41" s="12"/>
      <c r="ETH41" s="18"/>
      <c r="ETI41" s="12"/>
      <c r="ETJ41" s="19"/>
      <c r="ETK41" s="16"/>
      <c r="ETL41" s="18"/>
      <c r="ETM41" s="13"/>
      <c r="ETN41" s="12"/>
      <c r="ETO41" s="18"/>
      <c r="ETP41" s="12"/>
      <c r="ETQ41" s="19"/>
      <c r="ETR41" s="16"/>
      <c r="ETS41" s="18"/>
      <c r="ETT41" s="13"/>
      <c r="ETU41" s="12"/>
      <c r="ETV41" s="18"/>
      <c r="ETW41" s="12"/>
      <c r="ETX41" s="19"/>
      <c r="ETY41" s="16"/>
      <c r="ETZ41" s="18"/>
      <c r="EUA41" s="13"/>
      <c r="EUB41" s="12"/>
      <c r="EUC41" s="18"/>
      <c r="EUD41" s="12"/>
      <c r="EUE41" s="19"/>
      <c r="EUF41" s="16"/>
      <c r="EUG41" s="18"/>
      <c r="EUH41" s="13"/>
      <c r="EUI41" s="12"/>
      <c r="EUJ41" s="18"/>
      <c r="EUK41" s="12"/>
      <c r="EUL41" s="19"/>
      <c r="EUM41" s="16"/>
      <c r="EUN41" s="18"/>
      <c r="EUO41" s="13"/>
      <c r="EUP41" s="12"/>
      <c r="EUQ41" s="18"/>
      <c r="EUR41" s="12"/>
      <c r="EUS41" s="19"/>
      <c r="EUT41" s="16"/>
      <c r="EUU41" s="18"/>
      <c r="EUV41" s="13"/>
      <c r="EUW41" s="12"/>
      <c r="EUX41" s="18"/>
      <c r="EUY41" s="12"/>
      <c r="EUZ41" s="19"/>
      <c r="EVA41" s="16"/>
      <c r="EVB41" s="18"/>
      <c r="EVC41" s="13"/>
      <c r="EVD41" s="12"/>
      <c r="EVE41" s="18"/>
      <c r="EVF41" s="12"/>
      <c r="EVG41" s="19"/>
      <c r="EVH41" s="16"/>
      <c r="EVI41" s="18"/>
      <c r="EVJ41" s="13"/>
      <c r="EVK41" s="12"/>
      <c r="EVL41" s="18"/>
      <c r="EVM41" s="12"/>
      <c r="EVN41" s="19"/>
      <c r="EVO41" s="16"/>
      <c r="EVP41" s="18"/>
      <c r="EVQ41" s="13"/>
      <c r="EVR41" s="12"/>
      <c r="EVS41" s="18"/>
      <c r="EVT41" s="12"/>
      <c r="EVU41" s="19"/>
      <c r="EVV41" s="16"/>
      <c r="EVW41" s="18"/>
      <c r="EVX41" s="13"/>
      <c r="EVY41" s="12"/>
      <c r="EVZ41" s="18"/>
      <c r="EWA41" s="12"/>
      <c r="EWB41" s="19"/>
      <c r="EWC41" s="16"/>
      <c r="EWD41" s="18"/>
      <c r="EWE41" s="13"/>
      <c r="EWF41" s="12"/>
      <c r="EWG41" s="18"/>
      <c r="EWH41" s="12"/>
      <c r="EWI41" s="19"/>
      <c r="EWJ41" s="16"/>
      <c r="EWK41" s="18"/>
      <c r="EWL41" s="13"/>
      <c r="EWM41" s="12"/>
      <c r="EWN41" s="18"/>
      <c r="EWO41" s="12"/>
      <c r="EWP41" s="19"/>
      <c r="EWQ41" s="16"/>
      <c r="EWR41" s="18"/>
      <c r="EWS41" s="13"/>
      <c r="EWT41" s="12"/>
      <c r="EWU41" s="18"/>
      <c r="EWV41" s="12"/>
      <c r="EWW41" s="19"/>
      <c r="EWX41" s="16"/>
      <c r="EWY41" s="18"/>
      <c r="EWZ41" s="13"/>
      <c r="EXA41" s="12"/>
      <c r="EXB41" s="18"/>
      <c r="EXC41" s="12"/>
      <c r="EXD41" s="19"/>
      <c r="EXE41" s="16"/>
      <c r="EXF41" s="18"/>
      <c r="EXG41" s="13"/>
      <c r="EXH41" s="12"/>
      <c r="EXI41" s="18"/>
      <c r="EXJ41" s="12"/>
      <c r="EXK41" s="19"/>
      <c r="EXL41" s="16"/>
      <c r="EXM41" s="18"/>
      <c r="EXN41" s="13"/>
      <c r="EXO41" s="12"/>
      <c r="EXP41" s="18"/>
      <c r="EXQ41" s="12"/>
      <c r="EXR41" s="19"/>
      <c r="EXS41" s="16"/>
      <c r="EXT41" s="18"/>
      <c r="EXU41" s="13"/>
      <c r="EXV41" s="12"/>
      <c r="EXW41" s="18"/>
      <c r="EXX41" s="12"/>
      <c r="EXY41" s="19"/>
      <c r="EXZ41" s="16"/>
      <c r="EYA41" s="18"/>
      <c r="EYB41" s="13"/>
      <c r="EYC41" s="12"/>
      <c r="EYD41" s="18"/>
      <c r="EYE41" s="12"/>
      <c r="EYF41" s="19"/>
      <c r="EYG41" s="16"/>
      <c r="EYH41" s="18"/>
      <c r="EYI41" s="13"/>
      <c r="EYJ41" s="12"/>
      <c r="EYK41" s="18"/>
      <c r="EYL41" s="12"/>
      <c r="EYM41" s="19"/>
      <c r="EYN41" s="16"/>
      <c r="EYO41" s="18"/>
      <c r="EYP41" s="13"/>
      <c r="EYQ41" s="12"/>
      <c r="EYR41" s="18"/>
      <c r="EYS41" s="12"/>
      <c r="EYT41" s="19"/>
      <c r="EYU41" s="16"/>
      <c r="EYV41" s="18"/>
      <c r="EYW41" s="13"/>
      <c r="EYX41" s="12"/>
      <c r="EYY41" s="18"/>
      <c r="EYZ41" s="12"/>
      <c r="EZA41" s="19"/>
      <c r="EZB41" s="16"/>
      <c r="EZC41" s="18"/>
      <c r="EZD41" s="13"/>
      <c r="EZE41" s="12"/>
      <c r="EZF41" s="18"/>
      <c r="EZG41" s="12"/>
      <c r="EZH41" s="19"/>
      <c r="EZI41" s="16"/>
      <c r="EZJ41" s="18"/>
      <c r="EZK41" s="13"/>
      <c r="EZL41" s="12"/>
      <c r="EZM41" s="18"/>
      <c r="EZN41" s="12"/>
      <c r="EZO41" s="19"/>
      <c r="EZP41" s="16"/>
      <c r="EZQ41" s="18"/>
      <c r="EZR41" s="13"/>
      <c r="EZS41" s="12"/>
      <c r="EZT41" s="18"/>
      <c r="EZU41" s="12"/>
      <c r="EZV41" s="19"/>
      <c r="EZW41" s="16"/>
      <c r="EZX41" s="18"/>
      <c r="EZY41" s="13"/>
      <c r="EZZ41" s="12"/>
      <c r="FAA41" s="18"/>
      <c r="FAB41" s="12"/>
      <c r="FAC41" s="19"/>
      <c r="FAD41" s="16"/>
      <c r="FAE41" s="18"/>
      <c r="FAF41" s="13"/>
      <c r="FAG41" s="12"/>
      <c r="FAH41" s="18"/>
      <c r="FAI41" s="12"/>
      <c r="FAJ41" s="19"/>
      <c r="FAK41" s="16"/>
      <c r="FAL41" s="18"/>
      <c r="FAM41" s="13"/>
      <c r="FAN41" s="12"/>
      <c r="FAO41" s="18"/>
      <c r="FAP41" s="12"/>
      <c r="FAQ41" s="19"/>
      <c r="FAR41" s="16"/>
      <c r="FAS41" s="18"/>
      <c r="FAT41" s="13"/>
      <c r="FAU41" s="12"/>
      <c r="FAV41" s="18"/>
      <c r="FAW41" s="12"/>
      <c r="FAX41" s="19"/>
      <c r="FAY41" s="16"/>
      <c r="FAZ41" s="18"/>
      <c r="FBA41" s="13"/>
      <c r="FBB41" s="12"/>
      <c r="FBC41" s="18"/>
      <c r="FBD41" s="12"/>
      <c r="FBE41" s="19"/>
      <c r="FBF41" s="16"/>
      <c r="FBG41" s="18"/>
      <c r="FBH41" s="13"/>
      <c r="FBI41" s="12"/>
      <c r="FBJ41" s="18"/>
      <c r="FBK41" s="12"/>
      <c r="FBL41" s="19"/>
      <c r="FBM41" s="16"/>
      <c r="FBN41" s="18"/>
      <c r="FBO41" s="13"/>
      <c r="FBP41" s="12"/>
      <c r="FBQ41" s="18"/>
      <c r="FBR41" s="12"/>
      <c r="FBS41" s="19"/>
      <c r="FBT41" s="16"/>
      <c r="FBU41" s="18"/>
      <c r="FBV41" s="13"/>
      <c r="FBW41" s="12"/>
      <c r="FBX41" s="18"/>
      <c r="FBY41" s="12"/>
      <c r="FBZ41" s="19"/>
      <c r="FCA41" s="16"/>
      <c r="FCB41" s="18"/>
      <c r="FCC41" s="13"/>
      <c r="FCD41" s="12"/>
      <c r="FCE41" s="18"/>
      <c r="FCF41" s="12"/>
      <c r="FCG41" s="19"/>
      <c r="FCH41" s="16"/>
      <c r="FCI41" s="18"/>
      <c r="FCJ41" s="13"/>
      <c r="FCK41" s="12"/>
      <c r="FCL41" s="18"/>
      <c r="FCM41" s="12"/>
      <c r="FCN41" s="19"/>
      <c r="FCO41" s="16"/>
      <c r="FCP41" s="18"/>
      <c r="FCQ41" s="13"/>
      <c r="FCR41" s="12"/>
      <c r="FCS41" s="18"/>
      <c r="FCT41" s="12"/>
      <c r="FCU41" s="19"/>
      <c r="FCV41" s="16"/>
      <c r="FCW41" s="18"/>
      <c r="FCX41" s="13"/>
      <c r="FCY41" s="12"/>
      <c r="FCZ41" s="18"/>
      <c r="FDA41" s="12"/>
      <c r="FDB41" s="19"/>
      <c r="FDC41" s="16"/>
      <c r="FDD41" s="18"/>
      <c r="FDE41" s="13"/>
      <c r="FDF41" s="12"/>
      <c r="FDG41" s="18"/>
      <c r="FDH41" s="12"/>
      <c r="FDI41" s="19"/>
      <c r="FDJ41" s="16"/>
      <c r="FDK41" s="18"/>
      <c r="FDL41" s="13"/>
      <c r="FDM41" s="12"/>
      <c r="FDN41" s="18"/>
      <c r="FDO41" s="12"/>
      <c r="FDP41" s="19"/>
      <c r="FDQ41" s="16"/>
      <c r="FDR41" s="18"/>
      <c r="FDS41" s="13"/>
      <c r="FDT41" s="12"/>
      <c r="FDU41" s="18"/>
      <c r="FDV41" s="12"/>
      <c r="FDW41" s="19"/>
      <c r="FDX41" s="16"/>
      <c r="FDY41" s="18"/>
      <c r="FDZ41" s="13"/>
      <c r="FEA41" s="12"/>
      <c r="FEB41" s="18"/>
      <c r="FEC41" s="12"/>
      <c r="FED41" s="19"/>
      <c r="FEE41" s="16"/>
      <c r="FEF41" s="18"/>
      <c r="FEG41" s="13"/>
      <c r="FEH41" s="12"/>
      <c r="FEI41" s="18"/>
      <c r="FEJ41" s="12"/>
      <c r="FEK41" s="19"/>
      <c r="FEL41" s="16"/>
      <c r="FEM41" s="18"/>
      <c r="FEN41" s="13"/>
      <c r="FEO41" s="12"/>
      <c r="FEP41" s="18"/>
      <c r="FEQ41" s="12"/>
      <c r="FER41" s="19"/>
      <c r="FES41" s="16"/>
      <c r="FET41" s="18"/>
      <c r="FEU41" s="13"/>
      <c r="FEV41" s="12"/>
      <c r="FEW41" s="18"/>
      <c r="FEX41" s="12"/>
      <c r="FEY41" s="19"/>
      <c r="FEZ41" s="16"/>
      <c r="FFA41" s="18"/>
      <c r="FFB41" s="13"/>
      <c r="FFC41" s="12"/>
      <c r="FFD41" s="18"/>
      <c r="FFE41" s="12"/>
      <c r="FFF41" s="19"/>
      <c r="FFG41" s="16"/>
      <c r="FFH41" s="18"/>
      <c r="FFI41" s="13"/>
      <c r="FFJ41" s="12"/>
      <c r="FFK41" s="18"/>
      <c r="FFL41" s="12"/>
      <c r="FFM41" s="19"/>
      <c r="FFN41" s="16"/>
      <c r="FFO41" s="18"/>
      <c r="FFP41" s="13"/>
      <c r="FFQ41" s="12"/>
      <c r="FFR41" s="18"/>
      <c r="FFS41" s="12"/>
      <c r="FFT41" s="19"/>
      <c r="FFU41" s="16"/>
      <c r="FFV41" s="18"/>
      <c r="FFW41" s="13"/>
      <c r="FFX41" s="12"/>
      <c r="FFY41" s="18"/>
      <c r="FFZ41" s="12"/>
      <c r="FGA41" s="19"/>
      <c r="FGB41" s="16"/>
      <c r="FGC41" s="18"/>
      <c r="FGD41" s="13"/>
      <c r="FGE41" s="12"/>
      <c r="FGF41" s="18"/>
      <c r="FGG41" s="12"/>
      <c r="FGH41" s="19"/>
      <c r="FGI41" s="16"/>
      <c r="FGJ41" s="18"/>
      <c r="FGK41" s="13"/>
      <c r="FGL41" s="12"/>
      <c r="FGM41" s="18"/>
      <c r="FGN41" s="12"/>
      <c r="FGO41" s="19"/>
      <c r="FGP41" s="16"/>
      <c r="FGQ41" s="18"/>
      <c r="FGR41" s="13"/>
      <c r="FGS41" s="12"/>
      <c r="FGT41" s="18"/>
      <c r="FGU41" s="12"/>
      <c r="FGV41" s="19"/>
      <c r="FGW41" s="16"/>
      <c r="FGX41" s="18"/>
      <c r="FGY41" s="13"/>
      <c r="FGZ41" s="12"/>
      <c r="FHA41" s="18"/>
      <c r="FHB41" s="12"/>
      <c r="FHC41" s="19"/>
      <c r="FHD41" s="16"/>
      <c r="FHE41" s="18"/>
      <c r="FHF41" s="13"/>
      <c r="FHG41" s="12"/>
      <c r="FHH41" s="18"/>
      <c r="FHI41" s="12"/>
      <c r="FHJ41" s="19"/>
      <c r="FHK41" s="16"/>
      <c r="FHL41" s="18"/>
      <c r="FHM41" s="13"/>
      <c r="FHN41" s="12"/>
      <c r="FHO41" s="18"/>
      <c r="FHP41" s="12"/>
      <c r="FHQ41" s="19"/>
      <c r="FHR41" s="16"/>
      <c r="FHS41" s="18"/>
      <c r="FHT41" s="13"/>
      <c r="FHU41" s="12"/>
      <c r="FHV41" s="18"/>
      <c r="FHW41" s="12"/>
      <c r="FHX41" s="19"/>
      <c r="FHY41" s="16"/>
      <c r="FHZ41" s="18"/>
      <c r="FIA41" s="13"/>
      <c r="FIB41" s="12"/>
      <c r="FIC41" s="18"/>
      <c r="FID41" s="12"/>
      <c r="FIE41" s="19"/>
      <c r="FIF41" s="16"/>
      <c r="FIG41" s="18"/>
      <c r="FIH41" s="13"/>
      <c r="FII41" s="12"/>
      <c r="FIJ41" s="18"/>
      <c r="FIK41" s="12"/>
      <c r="FIL41" s="19"/>
      <c r="FIM41" s="16"/>
      <c r="FIN41" s="18"/>
      <c r="FIO41" s="13"/>
      <c r="FIP41" s="12"/>
      <c r="FIQ41" s="18"/>
      <c r="FIR41" s="12"/>
      <c r="FIS41" s="19"/>
      <c r="FIT41" s="16"/>
      <c r="FIU41" s="18"/>
      <c r="FIV41" s="13"/>
      <c r="FIW41" s="12"/>
      <c r="FIX41" s="18"/>
      <c r="FIY41" s="12"/>
      <c r="FIZ41" s="19"/>
      <c r="FJA41" s="16"/>
      <c r="FJB41" s="18"/>
      <c r="FJC41" s="13"/>
      <c r="FJD41" s="12"/>
      <c r="FJE41" s="18"/>
      <c r="FJF41" s="12"/>
      <c r="FJG41" s="19"/>
      <c r="FJH41" s="16"/>
      <c r="FJI41" s="18"/>
      <c r="FJJ41" s="13"/>
      <c r="FJK41" s="12"/>
      <c r="FJL41" s="18"/>
      <c r="FJM41" s="12"/>
      <c r="FJN41" s="19"/>
      <c r="FJO41" s="16"/>
      <c r="FJP41" s="18"/>
      <c r="FJQ41" s="13"/>
      <c r="FJR41" s="12"/>
      <c r="FJS41" s="18"/>
      <c r="FJT41" s="12"/>
      <c r="FJU41" s="19"/>
      <c r="FJV41" s="16"/>
      <c r="FJW41" s="18"/>
      <c r="FJX41" s="13"/>
      <c r="FJY41" s="12"/>
      <c r="FJZ41" s="18"/>
      <c r="FKA41" s="12"/>
      <c r="FKB41" s="19"/>
      <c r="FKC41" s="16"/>
      <c r="FKD41" s="18"/>
      <c r="FKE41" s="13"/>
      <c r="FKF41" s="12"/>
      <c r="FKG41" s="18"/>
      <c r="FKH41" s="12"/>
      <c r="FKI41" s="19"/>
      <c r="FKJ41" s="16"/>
      <c r="FKK41" s="18"/>
      <c r="FKL41" s="13"/>
      <c r="FKM41" s="12"/>
      <c r="FKN41" s="18"/>
      <c r="FKO41" s="12"/>
      <c r="FKP41" s="19"/>
      <c r="FKQ41" s="16"/>
      <c r="FKR41" s="18"/>
      <c r="FKS41" s="13"/>
      <c r="FKT41" s="12"/>
      <c r="FKU41" s="18"/>
      <c r="FKV41" s="12"/>
      <c r="FKW41" s="19"/>
      <c r="FKX41" s="16"/>
      <c r="FKY41" s="18"/>
      <c r="FKZ41" s="13"/>
      <c r="FLA41" s="12"/>
      <c r="FLB41" s="18"/>
      <c r="FLC41" s="12"/>
      <c r="FLD41" s="19"/>
      <c r="FLE41" s="16"/>
      <c r="FLF41" s="18"/>
      <c r="FLG41" s="13"/>
      <c r="FLH41" s="12"/>
      <c r="FLI41" s="18"/>
      <c r="FLJ41" s="12"/>
      <c r="FLK41" s="19"/>
      <c r="FLL41" s="16"/>
      <c r="FLM41" s="18"/>
      <c r="FLN41" s="13"/>
      <c r="FLO41" s="12"/>
      <c r="FLP41" s="18"/>
      <c r="FLQ41" s="12"/>
      <c r="FLR41" s="19"/>
      <c r="FLS41" s="16"/>
      <c r="FLT41" s="18"/>
      <c r="FLU41" s="13"/>
      <c r="FLV41" s="12"/>
      <c r="FLW41" s="18"/>
      <c r="FLX41" s="12"/>
      <c r="FLY41" s="19"/>
      <c r="FLZ41" s="16"/>
      <c r="FMA41" s="18"/>
      <c r="FMB41" s="13"/>
      <c r="FMC41" s="12"/>
      <c r="FMD41" s="18"/>
      <c r="FME41" s="12"/>
      <c r="FMF41" s="19"/>
      <c r="FMG41" s="16"/>
      <c r="FMH41" s="18"/>
      <c r="FMI41" s="13"/>
      <c r="FMJ41" s="12"/>
      <c r="FMK41" s="18"/>
      <c r="FML41" s="12"/>
      <c r="FMM41" s="19"/>
      <c r="FMN41" s="16"/>
      <c r="FMO41" s="18"/>
      <c r="FMP41" s="13"/>
      <c r="FMQ41" s="12"/>
      <c r="FMR41" s="18"/>
      <c r="FMS41" s="12"/>
      <c r="FMT41" s="19"/>
      <c r="FMU41" s="16"/>
      <c r="FMV41" s="18"/>
      <c r="FMW41" s="13"/>
      <c r="FMX41" s="12"/>
      <c r="FMY41" s="18"/>
      <c r="FMZ41" s="12"/>
      <c r="FNA41" s="19"/>
      <c r="FNB41" s="16"/>
      <c r="FNC41" s="18"/>
      <c r="FND41" s="13"/>
      <c r="FNE41" s="12"/>
      <c r="FNF41" s="18"/>
      <c r="FNG41" s="12"/>
      <c r="FNH41" s="19"/>
      <c r="FNI41" s="16"/>
      <c r="FNJ41" s="18"/>
      <c r="FNK41" s="13"/>
      <c r="FNL41" s="12"/>
      <c r="FNM41" s="18"/>
      <c r="FNN41" s="12"/>
      <c r="FNO41" s="19"/>
      <c r="FNP41" s="16"/>
      <c r="FNQ41" s="18"/>
      <c r="FNR41" s="13"/>
      <c r="FNS41" s="12"/>
      <c r="FNT41" s="18"/>
      <c r="FNU41" s="12"/>
      <c r="FNV41" s="19"/>
      <c r="FNW41" s="16"/>
      <c r="FNX41" s="18"/>
      <c r="FNY41" s="13"/>
      <c r="FNZ41" s="12"/>
      <c r="FOA41" s="18"/>
      <c r="FOB41" s="12"/>
      <c r="FOC41" s="19"/>
      <c r="FOD41" s="16"/>
      <c r="FOE41" s="18"/>
      <c r="FOF41" s="13"/>
      <c r="FOG41" s="12"/>
      <c r="FOH41" s="18"/>
      <c r="FOI41" s="12"/>
      <c r="FOJ41" s="19"/>
      <c r="FOK41" s="16"/>
      <c r="FOL41" s="18"/>
      <c r="FOM41" s="13"/>
      <c r="FON41" s="12"/>
      <c r="FOO41" s="18"/>
      <c r="FOP41" s="12"/>
      <c r="FOQ41" s="19"/>
      <c r="FOR41" s="16"/>
      <c r="FOS41" s="18"/>
      <c r="FOT41" s="13"/>
      <c r="FOU41" s="12"/>
      <c r="FOV41" s="18"/>
      <c r="FOW41" s="12"/>
      <c r="FOX41" s="19"/>
      <c r="FOY41" s="16"/>
      <c r="FOZ41" s="18"/>
      <c r="FPA41" s="13"/>
      <c r="FPB41" s="12"/>
      <c r="FPC41" s="18"/>
      <c r="FPD41" s="12"/>
      <c r="FPE41" s="19"/>
      <c r="FPF41" s="16"/>
      <c r="FPG41" s="18"/>
      <c r="FPH41" s="13"/>
      <c r="FPI41" s="12"/>
      <c r="FPJ41" s="18"/>
      <c r="FPK41" s="12"/>
      <c r="FPL41" s="19"/>
      <c r="FPM41" s="16"/>
      <c r="FPN41" s="18"/>
      <c r="FPO41" s="13"/>
      <c r="FPP41" s="12"/>
      <c r="FPQ41" s="18"/>
      <c r="FPR41" s="12"/>
      <c r="FPS41" s="19"/>
      <c r="FPT41" s="16"/>
      <c r="FPU41" s="18"/>
      <c r="FPV41" s="13"/>
      <c r="FPW41" s="12"/>
      <c r="FPX41" s="18"/>
      <c r="FPY41" s="12"/>
      <c r="FPZ41" s="19"/>
      <c r="FQA41" s="16"/>
      <c r="FQB41" s="18"/>
      <c r="FQC41" s="13"/>
      <c r="FQD41" s="12"/>
      <c r="FQE41" s="18"/>
      <c r="FQF41" s="12"/>
      <c r="FQG41" s="19"/>
      <c r="FQH41" s="16"/>
      <c r="FQI41" s="18"/>
      <c r="FQJ41" s="13"/>
      <c r="FQK41" s="12"/>
      <c r="FQL41" s="18"/>
      <c r="FQM41" s="12"/>
      <c r="FQN41" s="19"/>
      <c r="FQO41" s="16"/>
      <c r="FQP41" s="18"/>
      <c r="FQQ41" s="13"/>
      <c r="FQR41" s="12"/>
      <c r="FQS41" s="18"/>
      <c r="FQT41" s="12"/>
      <c r="FQU41" s="19"/>
      <c r="FQV41" s="16"/>
      <c r="FQW41" s="18"/>
      <c r="FQX41" s="13"/>
      <c r="FQY41" s="12"/>
      <c r="FQZ41" s="18"/>
      <c r="FRA41" s="12"/>
      <c r="FRB41" s="19"/>
      <c r="FRC41" s="16"/>
      <c r="FRD41" s="18"/>
      <c r="FRE41" s="13"/>
      <c r="FRF41" s="12"/>
      <c r="FRG41" s="18"/>
      <c r="FRH41" s="12"/>
      <c r="FRI41" s="19"/>
      <c r="FRJ41" s="16"/>
      <c r="FRK41" s="18"/>
      <c r="FRL41" s="13"/>
      <c r="FRM41" s="12"/>
      <c r="FRN41" s="18"/>
      <c r="FRO41" s="12"/>
      <c r="FRP41" s="19"/>
      <c r="FRQ41" s="16"/>
      <c r="FRR41" s="18"/>
      <c r="FRS41" s="13"/>
      <c r="FRT41" s="12"/>
      <c r="FRU41" s="18"/>
      <c r="FRV41" s="12"/>
      <c r="FRW41" s="19"/>
      <c r="FRX41" s="16"/>
      <c r="FRY41" s="18"/>
      <c r="FRZ41" s="13"/>
      <c r="FSA41" s="12"/>
      <c r="FSB41" s="18"/>
      <c r="FSC41" s="12"/>
      <c r="FSD41" s="19"/>
      <c r="FSE41" s="16"/>
      <c r="FSF41" s="18"/>
      <c r="FSG41" s="13"/>
      <c r="FSH41" s="12"/>
      <c r="FSI41" s="18"/>
      <c r="FSJ41" s="12"/>
      <c r="FSK41" s="19"/>
      <c r="FSL41" s="16"/>
      <c r="FSM41" s="18"/>
      <c r="FSN41" s="13"/>
      <c r="FSO41" s="12"/>
      <c r="FSP41" s="18"/>
      <c r="FSQ41" s="12"/>
      <c r="FSR41" s="19"/>
      <c r="FSS41" s="16"/>
      <c r="FST41" s="18"/>
      <c r="FSU41" s="13"/>
      <c r="FSV41" s="12"/>
      <c r="FSW41" s="18"/>
      <c r="FSX41" s="12"/>
      <c r="FSY41" s="19"/>
      <c r="FSZ41" s="16"/>
      <c r="FTA41" s="18"/>
      <c r="FTB41" s="13"/>
      <c r="FTC41" s="12"/>
      <c r="FTD41" s="18"/>
      <c r="FTE41" s="12"/>
      <c r="FTF41" s="19"/>
      <c r="FTG41" s="16"/>
      <c r="FTH41" s="18"/>
      <c r="FTI41" s="13"/>
      <c r="FTJ41" s="12"/>
      <c r="FTK41" s="18"/>
      <c r="FTL41" s="12"/>
      <c r="FTM41" s="19"/>
      <c r="FTN41" s="16"/>
      <c r="FTO41" s="18"/>
      <c r="FTP41" s="13"/>
      <c r="FTQ41" s="12"/>
      <c r="FTR41" s="18"/>
      <c r="FTS41" s="12"/>
      <c r="FTT41" s="19"/>
      <c r="FTU41" s="16"/>
      <c r="FTV41" s="18"/>
      <c r="FTW41" s="13"/>
      <c r="FTX41" s="12"/>
      <c r="FTY41" s="18"/>
      <c r="FTZ41" s="12"/>
      <c r="FUA41" s="19"/>
      <c r="FUB41" s="16"/>
      <c r="FUC41" s="18"/>
      <c r="FUD41" s="13"/>
      <c r="FUE41" s="12"/>
      <c r="FUF41" s="18"/>
      <c r="FUG41" s="12"/>
      <c r="FUH41" s="19"/>
      <c r="FUI41" s="16"/>
      <c r="FUJ41" s="18"/>
      <c r="FUK41" s="13"/>
      <c r="FUL41" s="12"/>
      <c r="FUM41" s="18"/>
      <c r="FUN41" s="12"/>
      <c r="FUO41" s="19"/>
      <c r="FUP41" s="16"/>
      <c r="FUQ41" s="18"/>
      <c r="FUR41" s="13"/>
      <c r="FUS41" s="12"/>
      <c r="FUT41" s="18"/>
      <c r="FUU41" s="12"/>
      <c r="FUV41" s="19"/>
      <c r="FUW41" s="16"/>
      <c r="FUX41" s="18"/>
      <c r="FUY41" s="13"/>
      <c r="FUZ41" s="12"/>
      <c r="FVA41" s="18"/>
      <c r="FVB41" s="12"/>
      <c r="FVC41" s="19"/>
      <c r="FVD41" s="16"/>
      <c r="FVE41" s="18"/>
      <c r="FVF41" s="13"/>
      <c r="FVG41" s="12"/>
      <c r="FVH41" s="18"/>
      <c r="FVI41" s="12"/>
      <c r="FVJ41" s="19"/>
      <c r="FVK41" s="16"/>
      <c r="FVL41" s="18"/>
      <c r="FVM41" s="13"/>
      <c r="FVN41" s="12"/>
      <c r="FVO41" s="18"/>
      <c r="FVP41" s="12"/>
      <c r="FVQ41" s="19"/>
      <c r="FVR41" s="16"/>
      <c r="FVS41" s="18"/>
      <c r="FVT41" s="13"/>
      <c r="FVU41" s="12"/>
      <c r="FVV41" s="18"/>
      <c r="FVW41" s="12"/>
      <c r="FVX41" s="19"/>
      <c r="FVY41" s="16"/>
      <c r="FVZ41" s="18"/>
      <c r="FWA41" s="13"/>
      <c r="FWB41" s="12"/>
      <c r="FWC41" s="18"/>
      <c r="FWD41" s="12"/>
      <c r="FWE41" s="19"/>
      <c r="FWF41" s="16"/>
      <c r="FWG41" s="18"/>
      <c r="FWH41" s="13"/>
      <c r="FWI41" s="12"/>
      <c r="FWJ41" s="18"/>
      <c r="FWK41" s="12"/>
      <c r="FWL41" s="19"/>
      <c r="FWM41" s="16"/>
      <c r="FWN41" s="18"/>
      <c r="FWO41" s="13"/>
      <c r="FWP41" s="12"/>
      <c r="FWQ41" s="18"/>
      <c r="FWR41" s="12"/>
      <c r="FWS41" s="19"/>
      <c r="FWT41" s="16"/>
      <c r="FWU41" s="18"/>
      <c r="FWV41" s="13"/>
      <c r="FWW41" s="12"/>
      <c r="FWX41" s="18"/>
      <c r="FWY41" s="12"/>
      <c r="FWZ41" s="19"/>
      <c r="FXA41" s="16"/>
      <c r="FXB41" s="18"/>
      <c r="FXC41" s="13"/>
      <c r="FXD41" s="12"/>
      <c r="FXE41" s="18"/>
      <c r="FXF41" s="12"/>
      <c r="FXG41" s="19"/>
      <c r="FXH41" s="16"/>
      <c r="FXI41" s="18"/>
      <c r="FXJ41" s="13"/>
      <c r="FXK41" s="12"/>
      <c r="FXL41" s="18"/>
      <c r="FXM41" s="12"/>
      <c r="FXN41" s="19"/>
      <c r="FXO41" s="16"/>
      <c r="FXP41" s="18"/>
      <c r="FXQ41" s="13"/>
      <c r="FXR41" s="12"/>
      <c r="FXS41" s="18"/>
      <c r="FXT41" s="12"/>
      <c r="FXU41" s="19"/>
      <c r="FXV41" s="16"/>
      <c r="FXW41" s="18"/>
      <c r="FXX41" s="13"/>
      <c r="FXY41" s="12"/>
      <c r="FXZ41" s="18"/>
      <c r="FYA41" s="12"/>
      <c r="FYB41" s="19"/>
      <c r="FYC41" s="16"/>
      <c r="FYD41" s="18"/>
      <c r="FYE41" s="13"/>
      <c r="FYF41" s="12"/>
      <c r="FYG41" s="18"/>
      <c r="FYH41" s="12"/>
      <c r="FYI41" s="19"/>
      <c r="FYJ41" s="16"/>
      <c r="FYK41" s="18"/>
      <c r="FYL41" s="13"/>
      <c r="FYM41" s="12"/>
      <c r="FYN41" s="18"/>
      <c r="FYO41" s="12"/>
      <c r="FYP41" s="19"/>
      <c r="FYQ41" s="16"/>
      <c r="FYR41" s="18"/>
      <c r="FYS41" s="13"/>
      <c r="FYT41" s="12"/>
      <c r="FYU41" s="18"/>
      <c r="FYV41" s="12"/>
      <c r="FYW41" s="19"/>
      <c r="FYX41" s="16"/>
      <c r="FYY41" s="18"/>
      <c r="FYZ41" s="13"/>
      <c r="FZA41" s="12"/>
      <c r="FZB41" s="18"/>
      <c r="FZC41" s="12"/>
      <c r="FZD41" s="19"/>
      <c r="FZE41" s="16"/>
      <c r="FZF41" s="18"/>
      <c r="FZG41" s="13"/>
      <c r="FZH41" s="12"/>
      <c r="FZI41" s="18"/>
      <c r="FZJ41" s="12"/>
      <c r="FZK41" s="19"/>
      <c r="FZL41" s="16"/>
      <c r="FZM41" s="18"/>
      <c r="FZN41" s="13"/>
      <c r="FZO41" s="12"/>
      <c r="FZP41" s="18"/>
      <c r="FZQ41" s="12"/>
      <c r="FZR41" s="19"/>
      <c r="FZS41" s="16"/>
      <c r="FZT41" s="18"/>
      <c r="FZU41" s="13"/>
      <c r="FZV41" s="12"/>
      <c r="FZW41" s="18"/>
      <c r="FZX41" s="12"/>
      <c r="FZY41" s="19"/>
      <c r="FZZ41" s="16"/>
      <c r="GAA41" s="18"/>
      <c r="GAB41" s="13"/>
      <c r="GAC41" s="12"/>
      <c r="GAD41" s="18"/>
      <c r="GAE41" s="12"/>
      <c r="GAF41" s="19"/>
      <c r="GAG41" s="16"/>
      <c r="GAH41" s="18"/>
      <c r="GAI41" s="13"/>
      <c r="GAJ41" s="12"/>
      <c r="GAK41" s="18"/>
      <c r="GAL41" s="12"/>
      <c r="GAM41" s="19"/>
      <c r="GAN41" s="16"/>
      <c r="GAO41" s="18"/>
      <c r="GAP41" s="13"/>
      <c r="GAQ41" s="12"/>
      <c r="GAR41" s="18"/>
      <c r="GAS41" s="12"/>
      <c r="GAT41" s="19"/>
      <c r="GAU41" s="16"/>
      <c r="GAV41" s="18"/>
      <c r="GAW41" s="13"/>
      <c r="GAX41" s="12"/>
      <c r="GAY41" s="18"/>
      <c r="GAZ41" s="12"/>
      <c r="GBA41" s="19"/>
      <c r="GBB41" s="16"/>
      <c r="GBC41" s="18"/>
      <c r="GBD41" s="13"/>
      <c r="GBE41" s="12"/>
      <c r="GBF41" s="18"/>
      <c r="GBG41" s="12"/>
      <c r="GBH41" s="19"/>
      <c r="GBI41" s="16"/>
      <c r="GBJ41" s="18"/>
      <c r="GBK41" s="13"/>
      <c r="GBL41" s="12"/>
      <c r="GBM41" s="18"/>
      <c r="GBN41" s="12"/>
      <c r="GBO41" s="19"/>
      <c r="GBP41" s="16"/>
      <c r="GBQ41" s="18"/>
      <c r="GBR41" s="13"/>
      <c r="GBS41" s="12"/>
      <c r="GBT41" s="18"/>
      <c r="GBU41" s="12"/>
      <c r="GBV41" s="19"/>
      <c r="GBW41" s="16"/>
      <c r="GBX41" s="18"/>
      <c r="GBY41" s="13"/>
      <c r="GBZ41" s="12"/>
      <c r="GCA41" s="18"/>
      <c r="GCB41" s="12"/>
      <c r="GCC41" s="19"/>
      <c r="GCD41" s="16"/>
      <c r="GCE41" s="18"/>
      <c r="GCF41" s="13"/>
      <c r="GCG41" s="12"/>
      <c r="GCH41" s="18"/>
      <c r="GCI41" s="12"/>
      <c r="GCJ41" s="19"/>
      <c r="GCK41" s="16"/>
      <c r="GCL41" s="18"/>
      <c r="GCM41" s="13"/>
      <c r="GCN41" s="12"/>
      <c r="GCO41" s="18"/>
      <c r="GCP41" s="12"/>
      <c r="GCQ41" s="19"/>
      <c r="GCR41" s="16"/>
      <c r="GCS41" s="18"/>
      <c r="GCT41" s="13"/>
      <c r="GCU41" s="12"/>
      <c r="GCV41" s="18"/>
      <c r="GCW41" s="12"/>
      <c r="GCX41" s="19"/>
      <c r="GCY41" s="16"/>
      <c r="GCZ41" s="18"/>
      <c r="GDA41" s="13"/>
      <c r="GDB41" s="12"/>
      <c r="GDC41" s="18"/>
      <c r="GDD41" s="12"/>
      <c r="GDE41" s="19"/>
      <c r="GDF41" s="16"/>
      <c r="GDG41" s="18"/>
      <c r="GDH41" s="13"/>
      <c r="GDI41" s="12"/>
      <c r="GDJ41" s="18"/>
      <c r="GDK41" s="12"/>
      <c r="GDL41" s="19"/>
      <c r="GDM41" s="16"/>
      <c r="GDN41" s="18"/>
      <c r="GDO41" s="13"/>
      <c r="GDP41" s="12"/>
      <c r="GDQ41" s="18"/>
      <c r="GDR41" s="12"/>
      <c r="GDS41" s="19"/>
      <c r="GDT41" s="16"/>
      <c r="GDU41" s="18"/>
      <c r="GDV41" s="13"/>
      <c r="GDW41" s="12"/>
      <c r="GDX41" s="18"/>
      <c r="GDY41" s="12"/>
      <c r="GDZ41" s="19"/>
      <c r="GEA41" s="16"/>
      <c r="GEB41" s="18"/>
      <c r="GEC41" s="13"/>
      <c r="GED41" s="12"/>
      <c r="GEE41" s="18"/>
      <c r="GEF41" s="12"/>
      <c r="GEG41" s="19"/>
      <c r="GEH41" s="16"/>
      <c r="GEI41" s="18"/>
      <c r="GEJ41" s="13"/>
      <c r="GEK41" s="12"/>
      <c r="GEL41" s="18"/>
      <c r="GEM41" s="12"/>
      <c r="GEN41" s="19"/>
      <c r="GEO41" s="16"/>
      <c r="GEP41" s="18"/>
      <c r="GEQ41" s="13"/>
      <c r="GER41" s="12"/>
      <c r="GES41" s="18"/>
      <c r="GET41" s="12"/>
      <c r="GEU41" s="19"/>
      <c r="GEV41" s="16"/>
      <c r="GEW41" s="18"/>
      <c r="GEX41" s="13"/>
      <c r="GEY41" s="12"/>
      <c r="GEZ41" s="18"/>
      <c r="GFA41" s="12"/>
      <c r="GFB41" s="19"/>
      <c r="GFC41" s="16"/>
      <c r="GFD41" s="18"/>
      <c r="GFE41" s="13"/>
      <c r="GFF41" s="12"/>
      <c r="GFG41" s="18"/>
      <c r="GFH41" s="12"/>
      <c r="GFI41" s="19"/>
      <c r="GFJ41" s="16"/>
      <c r="GFK41" s="18"/>
      <c r="GFL41" s="13"/>
      <c r="GFM41" s="12"/>
      <c r="GFN41" s="18"/>
      <c r="GFO41" s="12"/>
      <c r="GFP41" s="19"/>
      <c r="GFQ41" s="16"/>
      <c r="GFR41" s="18"/>
      <c r="GFS41" s="13"/>
      <c r="GFT41" s="12"/>
      <c r="GFU41" s="18"/>
      <c r="GFV41" s="12"/>
      <c r="GFW41" s="19"/>
      <c r="GFX41" s="16"/>
      <c r="GFY41" s="18"/>
      <c r="GFZ41" s="13"/>
      <c r="GGA41" s="12"/>
      <c r="GGB41" s="18"/>
      <c r="GGC41" s="12"/>
      <c r="GGD41" s="19"/>
      <c r="GGE41" s="16"/>
      <c r="GGF41" s="18"/>
      <c r="GGG41" s="13"/>
      <c r="GGH41" s="12"/>
      <c r="GGI41" s="18"/>
      <c r="GGJ41" s="12"/>
      <c r="GGK41" s="19"/>
      <c r="GGL41" s="16"/>
      <c r="GGM41" s="18"/>
      <c r="GGN41" s="13"/>
      <c r="GGO41" s="12"/>
      <c r="GGP41" s="18"/>
      <c r="GGQ41" s="12"/>
      <c r="GGR41" s="19"/>
      <c r="GGS41" s="16"/>
      <c r="GGT41" s="18"/>
      <c r="GGU41" s="13"/>
      <c r="GGV41" s="12"/>
      <c r="GGW41" s="18"/>
      <c r="GGX41" s="12"/>
      <c r="GGY41" s="19"/>
      <c r="GGZ41" s="16"/>
      <c r="GHA41" s="18"/>
      <c r="GHB41" s="13"/>
      <c r="GHC41" s="12"/>
      <c r="GHD41" s="18"/>
      <c r="GHE41" s="12"/>
      <c r="GHF41" s="19"/>
      <c r="GHG41" s="16"/>
      <c r="GHH41" s="18"/>
      <c r="GHI41" s="13"/>
      <c r="GHJ41" s="12"/>
      <c r="GHK41" s="18"/>
      <c r="GHL41" s="12"/>
      <c r="GHM41" s="19"/>
      <c r="GHN41" s="16"/>
      <c r="GHO41" s="18"/>
      <c r="GHP41" s="13"/>
      <c r="GHQ41" s="12"/>
      <c r="GHR41" s="18"/>
      <c r="GHS41" s="12"/>
      <c r="GHT41" s="19"/>
      <c r="GHU41" s="16"/>
      <c r="GHV41" s="18"/>
      <c r="GHW41" s="13"/>
      <c r="GHX41" s="12"/>
      <c r="GHY41" s="18"/>
      <c r="GHZ41" s="12"/>
      <c r="GIA41" s="19"/>
      <c r="GIB41" s="16"/>
      <c r="GIC41" s="18"/>
      <c r="GID41" s="13"/>
      <c r="GIE41" s="12"/>
      <c r="GIF41" s="18"/>
      <c r="GIG41" s="12"/>
      <c r="GIH41" s="19"/>
      <c r="GII41" s="16"/>
      <c r="GIJ41" s="18"/>
      <c r="GIK41" s="13"/>
      <c r="GIL41" s="12"/>
      <c r="GIM41" s="18"/>
      <c r="GIN41" s="12"/>
      <c r="GIO41" s="19"/>
      <c r="GIP41" s="16"/>
      <c r="GIQ41" s="18"/>
      <c r="GIR41" s="13"/>
      <c r="GIS41" s="12"/>
      <c r="GIT41" s="18"/>
      <c r="GIU41" s="12"/>
      <c r="GIV41" s="19"/>
      <c r="GIW41" s="16"/>
      <c r="GIX41" s="18"/>
      <c r="GIY41" s="13"/>
      <c r="GIZ41" s="12"/>
      <c r="GJA41" s="18"/>
      <c r="GJB41" s="12"/>
      <c r="GJC41" s="19"/>
      <c r="GJD41" s="16"/>
      <c r="GJE41" s="18"/>
      <c r="GJF41" s="13"/>
      <c r="GJG41" s="12"/>
      <c r="GJH41" s="18"/>
      <c r="GJI41" s="12"/>
      <c r="GJJ41" s="19"/>
      <c r="GJK41" s="16"/>
      <c r="GJL41" s="18"/>
      <c r="GJM41" s="13"/>
      <c r="GJN41" s="12"/>
      <c r="GJO41" s="18"/>
      <c r="GJP41" s="12"/>
      <c r="GJQ41" s="19"/>
      <c r="GJR41" s="16"/>
      <c r="GJS41" s="18"/>
      <c r="GJT41" s="13"/>
      <c r="GJU41" s="12"/>
      <c r="GJV41" s="18"/>
      <c r="GJW41" s="12"/>
      <c r="GJX41" s="19"/>
      <c r="GJY41" s="16"/>
      <c r="GJZ41" s="18"/>
      <c r="GKA41" s="13"/>
      <c r="GKB41" s="12"/>
      <c r="GKC41" s="18"/>
      <c r="GKD41" s="12"/>
      <c r="GKE41" s="19"/>
      <c r="GKF41" s="16"/>
      <c r="GKG41" s="18"/>
      <c r="GKH41" s="13"/>
      <c r="GKI41" s="12"/>
      <c r="GKJ41" s="18"/>
      <c r="GKK41" s="12"/>
      <c r="GKL41" s="19"/>
      <c r="GKM41" s="16"/>
      <c r="GKN41" s="18"/>
      <c r="GKO41" s="13"/>
      <c r="GKP41" s="12"/>
      <c r="GKQ41" s="18"/>
      <c r="GKR41" s="12"/>
      <c r="GKS41" s="19"/>
      <c r="GKT41" s="16"/>
      <c r="GKU41" s="18"/>
      <c r="GKV41" s="13"/>
      <c r="GKW41" s="12"/>
      <c r="GKX41" s="18"/>
      <c r="GKY41" s="12"/>
      <c r="GKZ41" s="19"/>
      <c r="GLA41" s="16"/>
      <c r="GLB41" s="18"/>
      <c r="GLC41" s="13"/>
      <c r="GLD41" s="12"/>
      <c r="GLE41" s="18"/>
      <c r="GLF41" s="12"/>
      <c r="GLG41" s="19"/>
      <c r="GLH41" s="16"/>
      <c r="GLI41" s="18"/>
      <c r="GLJ41" s="13"/>
      <c r="GLK41" s="12"/>
      <c r="GLL41" s="18"/>
      <c r="GLM41" s="12"/>
      <c r="GLN41" s="19"/>
      <c r="GLO41" s="16"/>
      <c r="GLP41" s="18"/>
      <c r="GLQ41" s="13"/>
      <c r="GLR41" s="12"/>
      <c r="GLS41" s="18"/>
      <c r="GLT41" s="12"/>
      <c r="GLU41" s="19"/>
      <c r="GLV41" s="16"/>
      <c r="GLW41" s="18"/>
      <c r="GLX41" s="13"/>
      <c r="GLY41" s="12"/>
      <c r="GLZ41" s="18"/>
      <c r="GMA41" s="12"/>
      <c r="GMB41" s="19"/>
      <c r="GMC41" s="16"/>
      <c r="GMD41" s="18"/>
      <c r="GME41" s="13"/>
      <c r="GMF41" s="12"/>
      <c r="GMG41" s="18"/>
      <c r="GMH41" s="12"/>
      <c r="GMI41" s="19"/>
      <c r="GMJ41" s="16"/>
      <c r="GMK41" s="18"/>
      <c r="GML41" s="13"/>
      <c r="GMM41" s="12"/>
      <c r="GMN41" s="18"/>
      <c r="GMO41" s="12"/>
      <c r="GMP41" s="19"/>
      <c r="GMQ41" s="16"/>
      <c r="GMR41" s="18"/>
      <c r="GMS41" s="13"/>
      <c r="GMT41" s="12"/>
      <c r="GMU41" s="18"/>
      <c r="GMV41" s="12"/>
      <c r="GMW41" s="19"/>
      <c r="GMX41" s="16"/>
      <c r="GMY41" s="18"/>
      <c r="GMZ41" s="13"/>
      <c r="GNA41" s="12"/>
      <c r="GNB41" s="18"/>
      <c r="GNC41" s="12"/>
      <c r="GND41" s="19"/>
      <c r="GNE41" s="16"/>
      <c r="GNF41" s="18"/>
      <c r="GNG41" s="13"/>
      <c r="GNH41" s="12"/>
      <c r="GNI41" s="18"/>
      <c r="GNJ41" s="12"/>
      <c r="GNK41" s="19"/>
      <c r="GNL41" s="16"/>
      <c r="GNM41" s="18"/>
      <c r="GNN41" s="13"/>
      <c r="GNO41" s="12"/>
      <c r="GNP41" s="18"/>
      <c r="GNQ41" s="12"/>
      <c r="GNR41" s="19"/>
      <c r="GNS41" s="16"/>
      <c r="GNT41" s="18"/>
      <c r="GNU41" s="13"/>
      <c r="GNV41" s="12"/>
      <c r="GNW41" s="18"/>
      <c r="GNX41" s="12"/>
      <c r="GNY41" s="19"/>
      <c r="GNZ41" s="16"/>
      <c r="GOA41" s="18"/>
      <c r="GOB41" s="13"/>
      <c r="GOC41" s="12"/>
      <c r="GOD41" s="18"/>
      <c r="GOE41" s="12"/>
      <c r="GOF41" s="19"/>
      <c r="GOG41" s="16"/>
      <c r="GOH41" s="18"/>
      <c r="GOI41" s="13"/>
      <c r="GOJ41" s="12"/>
      <c r="GOK41" s="18"/>
      <c r="GOL41" s="12"/>
      <c r="GOM41" s="19"/>
      <c r="GON41" s="16"/>
      <c r="GOO41" s="18"/>
      <c r="GOP41" s="13"/>
      <c r="GOQ41" s="12"/>
      <c r="GOR41" s="18"/>
      <c r="GOS41" s="12"/>
      <c r="GOT41" s="19"/>
      <c r="GOU41" s="16"/>
      <c r="GOV41" s="18"/>
      <c r="GOW41" s="13"/>
      <c r="GOX41" s="12"/>
      <c r="GOY41" s="18"/>
      <c r="GOZ41" s="12"/>
      <c r="GPA41" s="19"/>
      <c r="GPB41" s="16"/>
      <c r="GPC41" s="18"/>
      <c r="GPD41" s="13"/>
      <c r="GPE41" s="12"/>
      <c r="GPF41" s="18"/>
      <c r="GPG41" s="12"/>
      <c r="GPH41" s="19"/>
      <c r="GPI41" s="16"/>
      <c r="GPJ41" s="18"/>
      <c r="GPK41" s="13"/>
      <c r="GPL41" s="12"/>
      <c r="GPM41" s="18"/>
      <c r="GPN41" s="12"/>
      <c r="GPO41" s="19"/>
      <c r="GPP41" s="16"/>
      <c r="GPQ41" s="18"/>
      <c r="GPR41" s="13"/>
      <c r="GPS41" s="12"/>
      <c r="GPT41" s="18"/>
      <c r="GPU41" s="12"/>
      <c r="GPV41" s="19"/>
      <c r="GPW41" s="16"/>
      <c r="GPX41" s="18"/>
      <c r="GPY41" s="13"/>
      <c r="GPZ41" s="12"/>
      <c r="GQA41" s="18"/>
      <c r="GQB41" s="12"/>
      <c r="GQC41" s="19"/>
      <c r="GQD41" s="16"/>
      <c r="GQE41" s="18"/>
      <c r="GQF41" s="13"/>
      <c r="GQG41" s="12"/>
      <c r="GQH41" s="18"/>
      <c r="GQI41" s="12"/>
      <c r="GQJ41" s="19"/>
      <c r="GQK41" s="16"/>
      <c r="GQL41" s="18"/>
      <c r="GQM41" s="13"/>
      <c r="GQN41" s="12"/>
      <c r="GQO41" s="18"/>
      <c r="GQP41" s="12"/>
      <c r="GQQ41" s="19"/>
      <c r="GQR41" s="16"/>
      <c r="GQS41" s="18"/>
      <c r="GQT41" s="13"/>
      <c r="GQU41" s="12"/>
      <c r="GQV41" s="18"/>
      <c r="GQW41" s="12"/>
      <c r="GQX41" s="19"/>
      <c r="GQY41" s="16"/>
      <c r="GQZ41" s="18"/>
      <c r="GRA41" s="13"/>
      <c r="GRB41" s="12"/>
      <c r="GRC41" s="18"/>
      <c r="GRD41" s="12"/>
      <c r="GRE41" s="19"/>
      <c r="GRF41" s="16"/>
      <c r="GRG41" s="18"/>
      <c r="GRH41" s="13"/>
      <c r="GRI41" s="12"/>
      <c r="GRJ41" s="18"/>
      <c r="GRK41" s="12"/>
      <c r="GRL41" s="19"/>
      <c r="GRM41" s="16"/>
      <c r="GRN41" s="18"/>
      <c r="GRO41" s="13"/>
      <c r="GRP41" s="12"/>
      <c r="GRQ41" s="18"/>
      <c r="GRR41" s="12"/>
      <c r="GRS41" s="19"/>
      <c r="GRT41" s="16"/>
      <c r="GRU41" s="18"/>
      <c r="GRV41" s="13"/>
      <c r="GRW41" s="12"/>
      <c r="GRX41" s="18"/>
      <c r="GRY41" s="12"/>
      <c r="GRZ41" s="19"/>
      <c r="GSA41" s="16"/>
      <c r="GSB41" s="18"/>
      <c r="GSC41" s="13"/>
      <c r="GSD41" s="12"/>
      <c r="GSE41" s="18"/>
      <c r="GSF41" s="12"/>
      <c r="GSG41" s="19"/>
      <c r="GSH41" s="16"/>
      <c r="GSI41" s="18"/>
      <c r="GSJ41" s="13"/>
      <c r="GSK41" s="12"/>
      <c r="GSL41" s="18"/>
      <c r="GSM41" s="12"/>
      <c r="GSN41" s="19"/>
      <c r="GSO41" s="16"/>
      <c r="GSP41" s="18"/>
      <c r="GSQ41" s="13"/>
      <c r="GSR41" s="12"/>
      <c r="GSS41" s="18"/>
      <c r="GST41" s="12"/>
      <c r="GSU41" s="19"/>
      <c r="GSV41" s="16"/>
      <c r="GSW41" s="18"/>
      <c r="GSX41" s="13"/>
      <c r="GSY41" s="12"/>
      <c r="GSZ41" s="18"/>
      <c r="GTA41" s="12"/>
      <c r="GTB41" s="19"/>
      <c r="GTC41" s="16"/>
      <c r="GTD41" s="18"/>
      <c r="GTE41" s="13"/>
      <c r="GTF41" s="12"/>
      <c r="GTG41" s="18"/>
      <c r="GTH41" s="12"/>
      <c r="GTI41" s="19"/>
      <c r="GTJ41" s="16"/>
      <c r="GTK41" s="18"/>
      <c r="GTL41" s="13"/>
      <c r="GTM41" s="12"/>
      <c r="GTN41" s="18"/>
      <c r="GTO41" s="12"/>
      <c r="GTP41" s="19"/>
      <c r="GTQ41" s="16"/>
      <c r="GTR41" s="18"/>
      <c r="GTS41" s="13"/>
      <c r="GTT41" s="12"/>
      <c r="GTU41" s="18"/>
      <c r="GTV41" s="12"/>
      <c r="GTW41" s="19"/>
      <c r="GTX41" s="16"/>
      <c r="GTY41" s="18"/>
      <c r="GTZ41" s="13"/>
      <c r="GUA41" s="12"/>
      <c r="GUB41" s="18"/>
      <c r="GUC41" s="12"/>
      <c r="GUD41" s="19"/>
      <c r="GUE41" s="16"/>
      <c r="GUF41" s="18"/>
      <c r="GUG41" s="13"/>
      <c r="GUH41" s="12"/>
      <c r="GUI41" s="18"/>
      <c r="GUJ41" s="12"/>
      <c r="GUK41" s="19"/>
      <c r="GUL41" s="16"/>
      <c r="GUM41" s="18"/>
      <c r="GUN41" s="13"/>
      <c r="GUO41" s="12"/>
      <c r="GUP41" s="18"/>
      <c r="GUQ41" s="12"/>
      <c r="GUR41" s="19"/>
      <c r="GUS41" s="16"/>
      <c r="GUT41" s="18"/>
      <c r="GUU41" s="13"/>
      <c r="GUV41" s="12"/>
      <c r="GUW41" s="18"/>
      <c r="GUX41" s="12"/>
      <c r="GUY41" s="19"/>
      <c r="GUZ41" s="16"/>
      <c r="GVA41" s="18"/>
      <c r="GVB41" s="13"/>
      <c r="GVC41" s="12"/>
      <c r="GVD41" s="18"/>
      <c r="GVE41" s="12"/>
      <c r="GVF41" s="19"/>
      <c r="GVG41" s="16"/>
      <c r="GVH41" s="18"/>
      <c r="GVI41" s="13"/>
      <c r="GVJ41" s="12"/>
      <c r="GVK41" s="18"/>
      <c r="GVL41" s="12"/>
      <c r="GVM41" s="19"/>
      <c r="GVN41" s="16"/>
      <c r="GVO41" s="18"/>
      <c r="GVP41" s="13"/>
      <c r="GVQ41" s="12"/>
      <c r="GVR41" s="18"/>
      <c r="GVS41" s="12"/>
      <c r="GVT41" s="19"/>
      <c r="GVU41" s="16"/>
      <c r="GVV41" s="18"/>
      <c r="GVW41" s="13"/>
      <c r="GVX41" s="12"/>
      <c r="GVY41" s="18"/>
      <c r="GVZ41" s="12"/>
      <c r="GWA41" s="19"/>
      <c r="GWB41" s="16"/>
      <c r="GWC41" s="18"/>
      <c r="GWD41" s="13"/>
      <c r="GWE41" s="12"/>
      <c r="GWF41" s="18"/>
      <c r="GWG41" s="12"/>
      <c r="GWH41" s="19"/>
      <c r="GWI41" s="16"/>
      <c r="GWJ41" s="18"/>
      <c r="GWK41" s="13"/>
      <c r="GWL41" s="12"/>
      <c r="GWM41" s="18"/>
      <c r="GWN41" s="12"/>
      <c r="GWO41" s="19"/>
      <c r="GWP41" s="16"/>
      <c r="GWQ41" s="18"/>
      <c r="GWR41" s="13"/>
      <c r="GWS41" s="12"/>
      <c r="GWT41" s="18"/>
      <c r="GWU41" s="12"/>
      <c r="GWV41" s="19"/>
      <c r="GWW41" s="16"/>
      <c r="GWX41" s="18"/>
      <c r="GWY41" s="13"/>
      <c r="GWZ41" s="12"/>
      <c r="GXA41" s="18"/>
      <c r="GXB41" s="12"/>
      <c r="GXC41" s="19"/>
      <c r="GXD41" s="16"/>
      <c r="GXE41" s="18"/>
      <c r="GXF41" s="13"/>
      <c r="GXG41" s="12"/>
      <c r="GXH41" s="18"/>
      <c r="GXI41" s="12"/>
      <c r="GXJ41" s="19"/>
      <c r="GXK41" s="16"/>
      <c r="GXL41" s="18"/>
      <c r="GXM41" s="13"/>
      <c r="GXN41" s="12"/>
      <c r="GXO41" s="18"/>
      <c r="GXP41" s="12"/>
      <c r="GXQ41" s="19"/>
      <c r="GXR41" s="16"/>
      <c r="GXS41" s="18"/>
      <c r="GXT41" s="13"/>
      <c r="GXU41" s="12"/>
      <c r="GXV41" s="18"/>
      <c r="GXW41" s="12"/>
      <c r="GXX41" s="19"/>
      <c r="GXY41" s="16"/>
      <c r="GXZ41" s="18"/>
      <c r="GYA41" s="13"/>
      <c r="GYB41" s="12"/>
      <c r="GYC41" s="18"/>
      <c r="GYD41" s="12"/>
      <c r="GYE41" s="19"/>
      <c r="GYF41" s="16"/>
      <c r="GYG41" s="18"/>
      <c r="GYH41" s="13"/>
      <c r="GYI41" s="12"/>
      <c r="GYJ41" s="18"/>
      <c r="GYK41" s="12"/>
      <c r="GYL41" s="19"/>
      <c r="GYM41" s="16"/>
      <c r="GYN41" s="18"/>
      <c r="GYO41" s="13"/>
      <c r="GYP41" s="12"/>
      <c r="GYQ41" s="18"/>
      <c r="GYR41" s="12"/>
      <c r="GYS41" s="19"/>
      <c r="GYT41" s="16"/>
      <c r="GYU41" s="18"/>
      <c r="GYV41" s="13"/>
      <c r="GYW41" s="12"/>
      <c r="GYX41" s="18"/>
      <c r="GYY41" s="12"/>
      <c r="GYZ41" s="19"/>
      <c r="GZA41" s="16"/>
      <c r="GZB41" s="18"/>
      <c r="GZC41" s="13"/>
      <c r="GZD41" s="12"/>
      <c r="GZE41" s="18"/>
      <c r="GZF41" s="12"/>
      <c r="GZG41" s="19"/>
      <c r="GZH41" s="16"/>
      <c r="GZI41" s="18"/>
      <c r="GZJ41" s="13"/>
      <c r="GZK41" s="12"/>
      <c r="GZL41" s="18"/>
      <c r="GZM41" s="12"/>
      <c r="GZN41" s="19"/>
      <c r="GZO41" s="16"/>
      <c r="GZP41" s="18"/>
      <c r="GZQ41" s="13"/>
      <c r="GZR41" s="12"/>
      <c r="GZS41" s="18"/>
      <c r="GZT41" s="12"/>
      <c r="GZU41" s="19"/>
      <c r="GZV41" s="16"/>
      <c r="GZW41" s="18"/>
      <c r="GZX41" s="13"/>
      <c r="GZY41" s="12"/>
      <c r="GZZ41" s="18"/>
      <c r="HAA41" s="12"/>
      <c r="HAB41" s="19"/>
      <c r="HAC41" s="16"/>
      <c r="HAD41" s="18"/>
      <c r="HAE41" s="13"/>
      <c r="HAF41" s="12"/>
      <c r="HAG41" s="18"/>
      <c r="HAH41" s="12"/>
      <c r="HAI41" s="19"/>
      <c r="HAJ41" s="16"/>
      <c r="HAK41" s="18"/>
      <c r="HAL41" s="13"/>
      <c r="HAM41" s="12"/>
      <c r="HAN41" s="18"/>
      <c r="HAO41" s="12"/>
      <c r="HAP41" s="19"/>
      <c r="HAQ41" s="16"/>
      <c r="HAR41" s="18"/>
      <c r="HAS41" s="13"/>
      <c r="HAT41" s="12"/>
      <c r="HAU41" s="18"/>
      <c r="HAV41" s="12"/>
      <c r="HAW41" s="19"/>
      <c r="HAX41" s="16"/>
      <c r="HAY41" s="18"/>
      <c r="HAZ41" s="13"/>
      <c r="HBA41" s="12"/>
      <c r="HBB41" s="18"/>
      <c r="HBC41" s="12"/>
      <c r="HBD41" s="19"/>
      <c r="HBE41" s="16"/>
      <c r="HBF41" s="18"/>
      <c r="HBG41" s="13"/>
      <c r="HBH41" s="12"/>
      <c r="HBI41" s="18"/>
      <c r="HBJ41" s="12"/>
      <c r="HBK41" s="19"/>
      <c r="HBL41" s="16"/>
      <c r="HBM41" s="18"/>
      <c r="HBN41" s="13"/>
      <c r="HBO41" s="12"/>
      <c r="HBP41" s="18"/>
      <c r="HBQ41" s="12"/>
      <c r="HBR41" s="19"/>
      <c r="HBS41" s="16"/>
      <c r="HBT41" s="18"/>
      <c r="HBU41" s="13"/>
      <c r="HBV41" s="12"/>
      <c r="HBW41" s="18"/>
      <c r="HBX41" s="12"/>
      <c r="HBY41" s="19"/>
      <c r="HBZ41" s="16"/>
      <c r="HCA41" s="18"/>
      <c r="HCB41" s="13"/>
      <c r="HCC41" s="12"/>
      <c r="HCD41" s="18"/>
      <c r="HCE41" s="12"/>
      <c r="HCF41" s="19"/>
      <c r="HCG41" s="16"/>
      <c r="HCH41" s="18"/>
      <c r="HCI41" s="13"/>
      <c r="HCJ41" s="12"/>
      <c r="HCK41" s="18"/>
      <c r="HCL41" s="12"/>
      <c r="HCM41" s="19"/>
      <c r="HCN41" s="16"/>
      <c r="HCO41" s="18"/>
      <c r="HCP41" s="13"/>
      <c r="HCQ41" s="12"/>
      <c r="HCR41" s="18"/>
      <c r="HCS41" s="12"/>
      <c r="HCT41" s="19"/>
      <c r="HCU41" s="16"/>
      <c r="HCV41" s="18"/>
      <c r="HCW41" s="13"/>
      <c r="HCX41" s="12"/>
      <c r="HCY41" s="18"/>
      <c r="HCZ41" s="12"/>
      <c r="HDA41" s="19"/>
      <c r="HDB41" s="16"/>
      <c r="HDC41" s="18"/>
      <c r="HDD41" s="13"/>
      <c r="HDE41" s="12"/>
      <c r="HDF41" s="18"/>
      <c r="HDG41" s="12"/>
      <c r="HDH41" s="19"/>
      <c r="HDI41" s="16"/>
      <c r="HDJ41" s="18"/>
      <c r="HDK41" s="13"/>
      <c r="HDL41" s="12"/>
      <c r="HDM41" s="18"/>
      <c r="HDN41" s="12"/>
      <c r="HDO41" s="19"/>
      <c r="HDP41" s="16"/>
      <c r="HDQ41" s="18"/>
      <c r="HDR41" s="13"/>
      <c r="HDS41" s="12"/>
      <c r="HDT41" s="18"/>
      <c r="HDU41" s="12"/>
      <c r="HDV41" s="19"/>
      <c r="HDW41" s="16"/>
      <c r="HDX41" s="18"/>
      <c r="HDY41" s="13"/>
      <c r="HDZ41" s="12"/>
      <c r="HEA41" s="18"/>
      <c r="HEB41" s="12"/>
      <c r="HEC41" s="19"/>
      <c r="HED41" s="16"/>
      <c r="HEE41" s="18"/>
      <c r="HEF41" s="13"/>
      <c r="HEG41" s="12"/>
      <c r="HEH41" s="18"/>
      <c r="HEI41" s="12"/>
      <c r="HEJ41" s="19"/>
      <c r="HEK41" s="16"/>
      <c r="HEL41" s="18"/>
      <c r="HEM41" s="13"/>
      <c r="HEN41" s="12"/>
      <c r="HEO41" s="18"/>
      <c r="HEP41" s="12"/>
      <c r="HEQ41" s="19"/>
      <c r="HER41" s="16"/>
      <c r="HES41" s="18"/>
      <c r="HET41" s="13"/>
      <c r="HEU41" s="12"/>
      <c r="HEV41" s="18"/>
      <c r="HEW41" s="12"/>
      <c r="HEX41" s="19"/>
      <c r="HEY41" s="16"/>
      <c r="HEZ41" s="18"/>
      <c r="HFA41" s="13"/>
      <c r="HFB41" s="12"/>
      <c r="HFC41" s="18"/>
      <c r="HFD41" s="12"/>
      <c r="HFE41" s="19"/>
      <c r="HFF41" s="16"/>
      <c r="HFG41" s="18"/>
      <c r="HFH41" s="13"/>
      <c r="HFI41" s="12"/>
      <c r="HFJ41" s="18"/>
      <c r="HFK41" s="12"/>
      <c r="HFL41" s="19"/>
      <c r="HFM41" s="16"/>
      <c r="HFN41" s="18"/>
      <c r="HFO41" s="13"/>
      <c r="HFP41" s="12"/>
      <c r="HFQ41" s="18"/>
      <c r="HFR41" s="12"/>
      <c r="HFS41" s="19"/>
      <c r="HFT41" s="16"/>
      <c r="HFU41" s="18"/>
      <c r="HFV41" s="13"/>
      <c r="HFW41" s="12"/>
      <c r="HFX41" s="18"/>
      <c r="HFY41" s="12"/>
      <c r="HFZ41" s="19"/>
      <c r="HGA41" s="16"/>
      <c r="HGB41" s="18"/>
      <c r="HGC41" s="13"/>
      <c r="HGD41" s="12"/>
      <c r="HGE41" s="18"/>
      <c r="HGF41" s="12"/>
      <c r="HGG41" s="19"/>
      <c r="HGH41" s="16"/>
      <c r="HGI41" s="18"/>
      <c r="HGJ41" s="13"/>
      <c r="HGK41" s="12"/>
      <c r="HGL41" s="18"/>
      <c r="HGM41" s="12"/>
      <c r="HGN41" s="19"/>
      <c r="HGO41" s="16"/>
      <c r="HGP41" s="18"/>
      <c r="HGQ41" s="13"/>
      <c r="HGR41" s="12"/>
      <c r="HGS41" s="18"/>
      <c r="HGT41" s="12"/>
      <c r="HGU41" s="19"/>
      <c r="HGV41" s="16"/>
      <c r="HGW41" s="18"/>
      <c r="HGX41" s="13"/>
      <c r="HGY41" s="12"/>
      <c r="HGZ41" s="18"/>
      <c r="HHA41" s="12"/>
      <c r="HHB41" s="19"/>
      <c r="HHC41" s="16"/>
      <c r="HHD41" s="18"/>
      <c r="HHE41" s="13"/>
      <c r="HHF41" s="12"/>
      <c r="HHG41" s="18"/>
      <c r="HHH41" s="12"/>
      <c r="HHI41" s="19"/>
      <c r="HHJ41" s="16"/>
      <c r="HHK41" s="18"/>
      <c r="HHL41" s="13"/>
      <c r="HHM41" s="12"/>
      <c r="HHN41" s="18"/>
      <c r="HHO41" s="12"/>
      <c r="HHP41" s="19"/>
      <c r="HHQ41" s="16"/>
      <c r="HHR41" s="18"/>
      <c r="HHS41" s="13"/>
      <c r="HHT41" s="12"/>
      <c r="HHU41" s="18"/>
      <c r="HHV41" s="12"/>
      <c r="HHW41" s="19"/>
      <c r="HHX41" s="16"/>
      <c r="HHY41" s="18"/>
      <c r="HHZ41" s="13"/>
      <c r="HIA41" s="12"/>
      <c r="HIB41" s="18"/>
      <c r="HIC41" s="12"/>
      <c r="HID41" s="19"/>
      <c r="HIE41" s="16"/>
      <c r="HIF41" s="18"/>
      <c r="HIG41" s="13"/>
      <c r="HIH41" s="12"/>
      <c r="HII41" s="18"/>
      <c r="HIJ41" s="12"/>
      <c r="HIK41" s="19"/>
      <c r="HIL41" s="16"/>
      <c r="HIM41" s="18"/>
      <c r="HIN41" s="13"/>
      <c r="HIO41" s="12"/>
      <c r="HIP41" s="18"/>
      <c r="HIQ41" s="12"/>
      <c r="HIR41" s="19"/>
      <c r="HIS41" s="16"/>
      <c r="HIT41" s="18"/>
      <c r="HIU41" s="13"/>
      <c r="HIV41" s="12"/>
      <c r="HIW41" s="18"/>
      <c r="HIX41" s="12"/>
      <c r="HIY41" s="19"/>
      <c r="HIZ41" s="16"/>
      <c r="HJA41" s="18"/>
      <c r="HJB41" s="13"/>
      <c r="HJC41" s="12"/>
      <c r="HJD41" s="18"/>
      <c r="HJE41" s="12"/>
      <c r="HJF41" s="19"/>
      <c r="HJG41" s="16"/>
      <c r="HJH41" s="18"/>
      <c r="HJI41" s="13"/>
      <c r="HJJ41" s="12"/>
      <c r="HJK41" s="18"/>
      <c r="HJL41" s="12"/>
      <c r="HJM41" s="19"/>
      <c r="HJN41" s="16"/>
      <c r="HJO41" s="18"/>
      <c r="HJP41" s="13"/>
      <c r="HJQ41" s="12"/>
      <c r="HJR41" s="18"/>
      <c r="HJS41" s="12"/>
      <c r="HJT41" s="19"/>
      <c r="HJU41" s="16"/>
      <c r="HJV41" s="18"/>
      <c r="HJW41" s="13"/>
      <c r="HJX41" s="12"/>
      <c r="HJY41" s="18"/>
      <c r="HJZ41" s="12"/>
      <c r="HKA41" s="19"/>
      <c r="HKB41" s="16"/>
      <c r="HKC41" s="18"/>
      <c r="HKD41" s="13"/>
      <c r="HKE41" s="12"/>
      <c r="HKF41" s="18"/>
      <c r="HKG41" s="12"/>
      <c r="HKH41" s="19"/>
      <c r="HKI41" s="16"/>
      <c r="HKJ41" s="18"/>
      <c r="HKK41" s="13"/>
      <c r="HKL41" s="12"/>
      <c r="HKM41" s="18"/>
      <c r="HKN41" s="12"/>
      <c r="HKO41" s="19"/>
      <c r="HKP41" s="16"/>
      <c r="HKQ41" s="18"/>
      <c r="HKR41" s="13"/>
      <c r="HKS41" s="12"/>
      <c r="HKT41" s="18"/>
      <c r="HKU41" s="12"/>
      <c r="HKV41" s="19"/>
      <c r="HKW41" s="16"/>
      <c r="HKX41" s="18"/>
      <c r="HKY41" s="13"/>
      <c r="HKZ41" s="12"/>
      <c r="HLA41" s="18"/>
      <c r="HLB41" s="12"/>
      <c r="HLC41" s="19"/>
      <c r="HLD41" s="16"/>
      <c r="HLE41" s="18"/>
      <c r="HLF41" s="13"/>
      <c r="HLG41" s="12"/>
      <c r="HLH41" s="18"/>
      <c r="HLI41" s="12"/>
      <c r="HLJ41" s="19"/>
      <c r="HLK41" s="16"/>
      <c r="HLL41" s="18"/>
      <c r="HLM41" s="13"/>
      <c r="HLN41" s="12"/>
      <c r="HLO41" s="18"/>
      <c r="HLP41" s="12"/>
      <c r="HLQ41" s="19"/>
      <c r="HLR41" s="16"/>
      <c r="HLS41" s="18"/>
      <c r="HLT41" s="13"/>
      <c r="HLU41" s="12"/>
      <c r="HLV41" s="18"/>
      <c r="HLW41" s="12"/>
      <c r="HLX41" s="19"/>
      <c r="HLY41" s="16"/>
      <c r="HLZ41" s="18"/>
      <c r="HMA41" s="13"/>
      <c r="HMB41" s="12"/>
      <c r="HMC41" s="18"/>
      <c r="HMD41" s="12"/>
      <c r="HME41" s="19"/>
      <c r="HMF41" s="16"/>
      <c r="HMG41" s="18"/>
      <c r="HMH41" s="13"/>
      <c r="HMI41" s="12"/>
      <c r="HMJ41" s="18"/>
      <c r="HMK41" s="12"/>
      <c r="HML41" s="19"/>
      <c r="HMM41" s="16"/>
      <c r="HMN41" s="18"/>
      <c r="HMO41" s="13"/>
      <c r="HMP41" s="12"/>
      <c r="HMQ41" s="18"/>
      <c r="HMR41" s="12"/>
      <c r="HMS41" s="19"/>
      <c r="HMT41" s="16"/>
      <c r="HMU41" s="18"/>
      <c r="HMV41" s="13"/>
      <c r="HMW41" s="12"/>
      <c r="HMX41" s="18"/>
      <c r="HMY41" s="12"/>
      <c r="HMZ41" s="19"/>
      <c r="HNA41" s="16"/>
      <c r="HNB41" s="18"/>
      <c r="HNC41" s="13"/>
      <c r="HND41" s="12"/>
      <c r="HNE41" s="18"/>
      <c r="HNF41" s="12"/>
      <c r="HNG41" s="19"/>
      <c r="HNH41" s="16"/>
      <c r="HNI41" s="18"/>
      <c r="HNJ41" s="13"/>
      <c r="HNK41" s="12"/>
      <c r="HNL41" s="18"/>
      <c r="HNM41" s="12"/>
      <c r="HNN41" s="19"/>
      <c r="HNO41" s="16"/>
      <c r="HNP41" s="18"/>
      <c r="HNQ41" s="13"/>
      <c r="HNR41" s="12"/>
      <c r="HNS41" s="18"/>
      <c r="HNT41" s="12"/>
      <c r="HNU41" s="19"/>
      <c r="HNV41" s="16"/>
      <c r="HNW41" s="18"/>
      <c r="HNX41" s="13"/>
      <c r="HNY41" s="12"/>
      <c r="HNZ41" s="18"/>
      <c r="HOA41" s="12"/>
      <c r="HOB41" s="19"/>
      <c r="HOC41" s="16"/>
      <c r="HOD41" s="18"/>
      <c r="HOE41" s="13"/>
      <c r="HOF41" s="12"/>
      <c r="HOG41" s="18"/>
      <c r="HOH41" s="12"/>
      <c r="HOI41" s="19"/>
      <c r="HOJ41" s="16"/>
      <c r="HOK41" s="18"/>
      <c r="HOL41" s="13"/>
      <c r="HOM41" s="12"/>
      <c r="HON41" s="18"/>
      <c r="HOO41" s="12"/>
      <c r="HOP41" s="19"/>
      <c r="HOQ41" s="16"/>
      <c r="HOR41" s="18"/>
      <c r="HOS41" s="13"/>
      <c r="HOT41" s="12"/>
      <c r="HOU41" s="18"/>
      <c r="HOV41" s="12"/>
      <c r="HOW41" s="19"/>
      <c r="HOX41" s="16"/>
      <c r="HOY41" s="18"/>
      <c r="HOZ41" s="13"/>
      <c r="HPA41" s="12"/>
      <c r="HPB41" s="18"/>
      <c r="HPC41" s="12"/>
      <c r="HPD41" s="19"/>
      <c r="HPE41" s="16"/>
      <c r="HPF41" s="18"/>
      <c r="HPG41" s="13"/>
      <c r="HPH41" s="12"/>
      <c r="HPI41" s="18"/>
      <c r="HPJ41" s="12"/>
      <c r="HPK41" s="19"/>
      <c r="HPL41" s="16"/>
      <c r="HPM41" s="18"/>
      <c r="HPN41" s="13"/>
      <c r="HPO41" s="12"/>
      <c r="HPP41" s="18"/>
      <c r="HPQ41" s="12"/>
      <c r="HPR41" s="19"/>
      <c r="HPS41" s="16"/>
      <c r="HPT41" s="18"/>
      <c r="HPU41" s="13"/>
      <c r="HPV41" s="12"/>
      <c r="HPW41" s="18"/>
      <c r="HPX41" s="12"/>
      <c r="HPY41" s="19"/>
      <c r="HPZ41" s="16"/>
      <c r="HQA41" s="18"/>
      <c r="HQB41" s="13"/>
      <c r="HQC41" s="12"/>
      <c r="HQD41" s="18"/>
      <c r="HQE41" s="12"/>
      <c r="HQF41" s="19"/>
      <c r="HQG41" s="16"/>
      <c r="HQH41" s="18"/>
      <c r="HQI41" s="13"/>
      <c r="HQJ41" s="12"/>
      <c r="HQK41" s="18"/>
      <c r="HQL41" s="12"/>
      <c r="HQM41" s="19"/>
      <c r="HQN41" s="16"/>
      <c r="HQO41" s="18"/>
      <c r="HQP41" s="13"/>
      <c r="HQQ41" s="12"/>
      <c r="HQR41" s="18"/>
      <c r="HQS41" s="12"/>
      <c r="HQT41" s="19"/>
      <c r="HQU41" s="16"/>
      <c r="HQV41" s="18"/>
      <c r="HQW41" s="13"/>
      <c r="HQX41" s="12"/>
      <c r="HQY41" s="18"/>
      <c r="HQZ41" s="12"/>
      <c r="HRA41" s="19"/>
      <c r="HRB41" s="16"/>
      <c r="HRC41" s="18"/>
      <c r="HRD41" s="13"/>
      <c r="HRE41" s="12"/>
      <c r="HRF41" s="18"/>
      <c r="HRG41" s="12"/>
      <c r="HRH41" s="19"/>
      <c r="HRI41" s="16"/>
      <c r="HRJ41" s="18"/>
      <c r="HRK41" s="13"/>
      <c r="HRL41" s="12"/>
      <c r="HRM41" s="18"/>
      <c r="HRN41" s="12"/>
      <c r="HRO41" s="19"/>
      <c r="HRP41" s="16"/>
      <c r="HRQ41" s="18"/>
      <c r="HRR41" s="13"/>
      <c r="HRS41" s="12"/>
      <c r="HRT41" s="18"/>
      <c r="HRU41" s="12"/>
      <c r="HRV41" s="19"/>
      <c r="HRW41" s="16"/>
      <c r="HRX41" s="18"/>
      <c r="HRY41" s="13"/>
      <c r="HRZ41" s="12"/>
      <c r="HSA41" s="18"/>
      <c r="HSB41" s="12"/>
      <c r="HSC41" s="19"/>
      <c r="HSD41" s="16"/>
      <c r="HSE41" s="18"/>
      <c r="HSF41" s="13"/>
      <c r="HSG41" s="12"/>
      <c r="HSH41" s="18"/>
      <c r="HSI41" s="12"/>
      <c r="HSJ41" s="19"/>
      <c r="HSK41" s="16"/>
      <c r="HSL41" s="18"/>
      <c r="HSM41" s="13"/>
      <c r="HSN41" s="12"/>
      <c r="HSO41" s="18"/>
      <c r="HSP41" s="12"/>
      <c r="HSQ41" s="19"/>
      <c r="HSR41" s="16"/>
      <c r="HSS41" s="18"/>
      <c r="HST41" s="13"/>
      <c r="HSU41" s="12"/>
      <c r="HSV41" s="18"/>
      <c r="HSW41" s="12"/>
      <c r="HSX41" s="19"/>
      <c r="HSY41" s="16"/>
      <c r="HSZ41" s="18"/>
      <c r="HTA41" s="13"/>
      <c r="HTB41" s="12"/>
      <c r="HTC41" s="18"/>
      <c r="HTD41" s="12"/>
      <c r="HTE41" s="19"/>
      <c r="HTF41" s="16"/>
      <c r="HTG41" s="18"/>
      <c r="HTH41" s="13"/>
      <c r="HTI41" s="12"/>
      <c r="HTJ41" s="18"/>
      <c r="HTK41" s="12"/>
      <c r="HTL41" s="19"/>
      <c r="HTM41" s="16"/>
      <c r="HTN41" s="18"/>
      <c r="HTO41" s="13"/>
      <c r="HTP41" s="12"/>
      <c r="HTQ41" s="18"/>
      <c r="HTR41" s="12"/>
      <c r="HTS41" s="19"/>
      <c r="HTT41" s="16"/>
      <c r="HTU41" s="18"/>
      <c r="HTV41" s="13"/>
      <c r="HTW41" s="12"/>
      <c r="HTX41" s="18"/>
      <c r="HTY41" s="12"/>
      <c r="HTZ41" s="19"/>
      <c r="HUA41" s="16"/>
      <c r="HUB41" s="18"/>
      <c r="HUC41" s="13"/>
      <c r="HUD41" s="12"/>
      <c r="HUE41" s="18"/>
      <c r="HUF41" s="12"/>
      <c r="HUG41" s="19"/>
      <c r="HUH41" s="16"/>
      <c r="HUI41" s="18"/>
      <c r="HUJ41" s="13"/>
      <c r="HUK41" s="12"/>
      <c r="HUL41" s="18"/>
      <c r="HUM41" s="12"/>
      <c r="HUN41" s="19"/>
      <c r="HUO41" s="16"/>
      <c r="HUP41" s="18"/>
      <c r="HUQ41" s="13"/>
      <c r="HUR41" s="12"/>
      <c r="HUS41" s="18"/>
      <c r="HUT41" s="12"/>
      <c r="HUU41" s="19"/>
      <c r="HUV41" s="16"/>
      <c r="HUW41" s="18"/>
      <c r="HUX41" s="13"/>
      <c r="HUY41" s="12"/>
      <c r="HUZ41" s="18"/>
      <c r="HVA41" s="12"/>
      <c r="HVB41" s="19"/>
      <c r="HVC41" s="16"/>
      <c r="HVD41" s="18"/>
      <c r="HVE41" s="13"/>
      <c r="HVF41" s="12"/>
      <c r="HVG41" s="18"/>
      <c r="HVH41" s="12"/>
      <c r="HVI41" s="19"/>
      <c r="HVJ41" s="16"/>
      <c r="HVK41" s="18"/>
      <c r="HVL41" s="13"/>
      <c r="HVM41" s="12"/>
      <c r="HVN41" s="18"/>
      <c r="HVO41" s="12"/>
      <c r="HVP41" s="19"/>
      <c r="HVQ41" s="16"/>
      <c r="HVR41" s="18"/>
      <c r="HVS41" s="13"/>
      <c r="HVT41" s="12"/>
      <c r="HVU41" s="18"/>
      <c r="HVV41" s="12"/>
      <c r="HVW41" s="19"/>
      <c r="HVX41" s="16"/>
      <c r="HVY41" s="18"/>
      <c r="HVZ41" s="13"/>
      <c r="HWA41" s="12"/>
      <c r="HWB41" s="18"/>
      <c r="HWC41" s="12"/>
      <c r="HWD41" s="19"/>
      <c r="HWE41" s="16"/>
      <c r="HWF41" s="18"/>
      <c r="HWG41" s="13"/>
      <c r="HWH41" s="12"/>
      <c r="HWI41" s="18"/>
      <c r="HWJ41" s="12"/>
      <c r="HWK41" s="19"/>
      <c r="HWL41" s="16"/>
      <c r="HWM41" s="18"/>
      <c r="HWN41" s="13"/>
      <c r="HWO41" s="12"/>
      <c r="HWP41" s="18"/>
      <c r="HWQ41" s="12"/>
      <c r="HWR41" s="19"/>
      <c r="HWS41" s="16"/>
      <c r="HWT41" s="18"/>
      <c r="HWU41" s="13"/>
      <c r="HWV41" s="12"/>
      <c r="HWW41" s="18"/>
      <c r="HWX41" s="12"/>
      <c r="HWY41" s="19"/>
      <c r="HWZ41" s="16"/>
      <c r="HXA41" s="18"/>
      <c r="HXB41" s="13"/>
      <c r="HXC41" s="12"/>
      <c r="HXD41" s="18"/>
      <c r="HXE41" s="12"/>
      <c r="HXF41" s="19"/>
      <c r="HXG41" s="16"/>
      <c r="HXH41" s="18"/>
      <c r="HXI41" s="13"/>
      <c r="HXJ41" s="12"/>
      <c r="HXK41" s="18"/>
      <c r="HXL41" s="12"/>
      <c r="HXM41" s="19"/>
      <c r="HXN41" s="16"/>
      <c r="HXO41" s="18"/>
      <c r="HXP41" s="13"/>
      <c r="HXQ41" s="12"/>
      <c r="HXR41" s="18"/>
      <c r="HXS41" s="12"/>
      <c r="HXT41" s="19"/>
      <c r="HXU41" s="16"/>
      <c r="HXV41" s="18"/>
      <c r="HXW41" s="13"/>
      <c r="HXX41" s="12"/>
      <c r="HXY41" s="18"/>
      <c r="HXZ41" s="12"/>
      <c r="HYA41" s="19"/>
      <c r="HYB41" s="16"/>
      <c r="HYC41" s="18"/>
      <c r="HYD41" s="13"/>
      <c r="HYE41" s="12"/>
      <c r="HYF41" s="18"/>
      <c r="HYG41" s="12"/>
      <c r="HYH41" s="19"/>
      <c r="HYI41" s="16"/>
      <c r="HYJ41" s="18"/>
      <c r="HYK41" s="13"/>
      <c r="HYL41" s="12"/>
      <c r="HYM41" s="18"/>
      <c r="HYN41" s="12"/>
      <c r="HYO41" s="19"/>
      <c r="HYP41" s="16"/>
      <c r="HYQ41" s="18"/>
      <c r="HYR41" s="13"/>
      <c r="HYS41" s="12"/>
      <c r="HYT41" s="18"/>
      <c r="HYU41" s="12"/>
      <c r="HYV41" s="19"/>
      <c r="HYW41" s="16"/>
      <c r="HYX41" s="18"/>
      <c r="HYY41" s="13"/>
      <c r="HYZ41" s="12"/>
      <c r="HZA41" s="18"/>
      <c r="HZB41" s="12"/>
      <c r="HZC41" s="19"/>
      <c r="HZD41" s="16"/>
      <c r="HZE41" s="18"/>
      <c r="HZF41" s="13"/>
      <c r="HZG41" s="12"/>
      <c r="HZH41" s="18"/>
      <c r="HZI41" s="12"/>
      <c r="HZJ41" s="19"/>
      <c r="HZK41" s="16"/>
      <c r="HZL41" s="18"/>
      <c r="HZM41" s="13"/>
      <c r="HZN41" s="12"/>
      <c r="HZO41" s="18"/>
      <c r="HZP41" s="12"/>
      <c r="HZQ41" s="19"/>
      <c r="HZR41" s="16"/>
      <c r="HZS41" s="18"/>
      <c r="HZT41" s="13"/>
      <c r="HZU41" s="12"/>
      <c r="HZV41" s="18"/>
      <c r="HZW41" s="12"/>
      <c r="HZX41" s="19"/>
      <c r="HZY41" s="16"/>
      <c r="HZZ41" s="18"/>
      <c r="IAA41" s="13"/>
      <c r="IAB41" s="12"/>
      <c r="IAC41" s="18"/>
      <c r="IAD41" s="12"/>
      <c r="IAE41" s="19"/>
      <c r="IAF41" s="16"/>
      <c r="IAG41" s="18"/>
      <c r="IAH41" s="13"/>
      <c r="IAI41" s="12"/>
      <c r="IAJ41" s="18"/>
      <c r="IAK41" s="12"/>
      <c r="IAL41" s="19"/>
      <c r="IAM41" s="16"/>
      <c r="IAN41" s="18"/>
      <c r="IAO41" s="13"/>
      <c r="IAP41" s="12"/>
      <c r="IAQ41" s="18"/>
      <c r="IAR41" s="12"/>
      <c r="IAS41" s="19"/>
      <c r="IAT41" s="16"/>
      <c r="IAU41" s="18"/>
      <c r="IAV41" s="13"/>
      <c r="IAW41" s="12"/>
      <c r="IAX41" s="18"/>
      <c r="IAY41" s="12"/>
      <c r="IAZ41" s="19"/>
      <c r="IBA41" s="16"/>
      <c r="IBB41" s="18"/>
      <c r="IBC41" s="13"/>
      <c r="IBD41" s="12"/>
      <c r="IBE41" s="18"/>
      <c r="IBF41" s="12"/>
      <c r="IBG41" s="19"/>
      <c r="IBH41" s="16"/>
      <c r="IBI41" s="18"/>
      <c r="IBJ41" s="13"/>
      <c r="IBK41" s="12"/>
      <c r="IBL41" s="18"/>
      <c r="IBM41" s="12"/>
      <c r="IBN41" s="19"/>
      <c r="IBO41" s="16"/>
      <c r="IBP41" s="18"/>
      <c r="IBQ41" s="13"/>
      <c r="IBR41" s="12"/>
      <c r="IBS41" s="18"/>
      <c r="IBT41" s="12"/>
      <c r="IBU41" s="19"/>
      <c r="IBV41" s="16"/>
      <c r="IBW41" s="18"/>
      <c r="IBX41" s="13"/>
      <c r="IBY41" s="12"/>
      <c r="IBZ41" s="18"/>
      <c r="ICA41" s="12"/>
      <c r="ICB41" s="19"/>
      <c r="ICC41" s="16"/>
      <c r="ICD41" s="18"/>
      <c r="ICE41" s="13"/>
      <c r="ICF41" s="12"/>
      <c r="ICG41" s="18"/>
      <c r="ICH41" s="12"/>
      <c r="ICI41" s="19"/>
      <c r="ICJ41" s="16"/>
      <c r="ICK41" s="18"/>
      <c r="ICL41" s="13"/>
      <c r="ICM41" s="12"/>
      <c r="ICN41" s="18"/>
      <c r="ICO41" s="12"/>
      <c r="ICP41" s="19"/>
      <c r="ICQ41" s="16"/>
      <c r="ICR41" s="18"/>
      <c r="ICS41" s="13"/>
      <c r="ICT41" s="12"/>
      <c r="ICU41" s="18"/>
      <c r="ICV41" s="12"/>
      <c r="ICW41" s="19"/>
      <c r="ICX41" s="16"/>
      <c r="ICY41" s="18"/>
      <c r="ICZ41" s="13"/>
      <c r="IDA41" s="12"/>
      <c r="IDB41" s="18"/>
      <c r="IDC41" s="12"/>
      <c r="IDD41" s="19"/>
      <c r="IDE41" s="16"/>
      <c r="IDF41" s="18"/>
      <c r="IDG41" s="13"/>
      <c r="IDH41" s="12"/>
      <c r="IDI41" s="18"/>
      <c r="IDJ41" s="12"/>
      <c r="IDK41" s="19"/>
      <c r="IDL41" s="16"/>
      <c r="IDM41" s="18"/>
      <c r="IDN41" s="13"/>
      <c r="IDO41" s="12"/>
      <c r="IDP41" s="18"/>
      <c r="IDQ41" s="12"/>
      <c r="IDR41" s="19"/>
      <c r="IDS41" s="16"/>
      <c r="IDT41" s="18"/>
      <c r="IDU41" s="13"/>
      <c r="IDV41" s="12"/>
      <c r="IDW41" s="18"/>
      <c r="IDX41" s="12"/>
      <c r="IDY41" s="19"/>
      <c r="IDZ41" s="16"/>
      <c r="IEA41" s="18"/>
      <c r="IEB41" s="13"/>
      <c r="IEC41" s="12"/>
      <c r="IED41" s="18"/>
      <c r="IEE41" s="12"/>
      <c r="IEF41" s="19"/>
      <c r="IEG41" s="16"/>
      <c r="IEH41" s="18"/>
      <c r="IEI41" s="13"/>
      <c r="IEJ41" s="12"/>
      <c r="IEK41" s="18"/>
      <c r="IEL41" s="12"/>
      <c r="IEM41" s="19"/>
      <c r="IEN41" s="16"/>
      <c r="IEO41" s="18"/>
      <c r="IEP41" s="13"/>
      <c r="IEQ41" s="12"/>
      <c r="IER41" s="18"/>
      <c r="IES41" s="12"/>
      <c r="IET41" s="19"/>
      <c r="IEU41" s="16"/>
      <c r="IEV41" s="18"/>
      <c r="IEW41" s="13"/>
      <c r="IEX41" s="12"/>
      <c r="IEY41" s="18"/>
      <c r="IEZ41" s="12"/>
      <c r="IFA41" s="19"/>
      <c r="IFB41" s="16"/>
      <c r="IFC41" s="18"/>
      <c r="IFD41" s="13"/>
      <c r="IFE41" s="12"/>
      <c r="IFF41" s="18"/>
      <c r="IFG41" s="12"/>
      <c r="IFH41" s="19"/>
      <c r="IFI41" s="16"/>
      <c r="IFJ41" s="18"/>
      <c r="IFK41" s="13"/>
      <c r="IFL41" s="12"/>
      <c r="IFM41" s="18"/>
      <c r="IFN41" s="12"/>
      <c r="IFO41" s="19"/>
      <c r="IFP41" s="16"/>
      <c r="IFQ41" s="18"/>
      <c r="IFR41" s="13"/>
      <c r="IFS41" s="12"/>
      <c r="IFT41" s="18"/>
      <c r="IFU41" s="12"/>
      <c r="IFV41" s="19"/>
      <c r="IFW41" s="16"/>
      <c r="IFX41" s="18"/>
      <c r="IFY41" s="13"/>
      <c r="IFZ41" s="12"/>
      <c r="IGA41" s="18"/>
      <c r="IGB41" s="12"/>
      <c r="IGC41" s="19"/>
      <c r="IGD41" s="16"/>
      <c r="IGE41" s="18"/>
      <c r="IGF41" s="13"/>
      <c r="IGG41" s="12"/>
      <c r="IGH41" s="18"/>
      <c r="IGI41" s="12"/>
      <c r="IGJ41" s="19"/>
      <c r="IGK41" s="16"/>
      <c r="IGL41" s="18"/>
      <c r="IGM41" s="13"/>
      <c r="IGN41" s="12"/>
      <c r="IGO41" s="18"/>
      <c r="IGP41" s="12"/>
      <c r="IGQ41" s="19"/>
      <c r="IGR41" s="16"/>
      <c r="IGS41" s="18"/>
      <c r="IGT41" s="13"/>
      <c r="IGU41" s="12"/>
      <c r="IGV41" s="18"/>
      <c r="IGW41" s="12"/>
      <c r="IGX41" s="19"/>
      <c r="IGY41" s="16"/>
      <c r="IGZ41" s="18"/>
      <c r="IHA41" s="13"/>
      <c r="IHB41" s="12"/>
      <c r="IHC41" s="18"/>
      <c r="IHD41" s="12"/>
      <c r="IHE41" s="19"/>
      <c r="IHF41" s="16"/>
      <c r="IHG41" s="18"/>
      <c r="IHH41" s="13"/>
      <c r="IHI41" s="12"/>
      <c r="IHJ41" s="18"/>
      <c r="IHK41" s="12"/>
      <c r="IHL41" s="19"/>
      <c r="IHM41" s="16"/>
      <c r="IHN41" s="18"/>
      <c r="IHO41" s="13"/>
      <c r="IHP41" s="12"/>
      <c r="IHQ41" s="18"/>
      <c r="IHR41" s="12"/>
      <c r="IHS41" s="19"/>
      <c r="IHT41" s="16"/>
      <c r="IHU41" s="18"/>
      <c r="IHV41" s="13"/>
      <c r="IHW41" s="12"/>
      <c r="IHX41" s="18"/>
      <c r="IHY41" s="12"/>
      <c r="IHZ41" s="19"/>
      <c r="IIA41" s="16"/>
      <c r="IIB41" s="18"/>
      <c r="IIC41" s="13"/>
      <c r="IID41" s="12"/>
      <c r="IIE41" s="18"/>
      <c r="IIF41" s="12"/>
      <c r="IIG41" s="19"/>
      <c r="IIH41" s="16"/>
      <c r="III41" s="18"/>
      <c r="IIJ41" s="13"/>
      <c r="IIK41" s="12"/>
      <c r="IIL41" s="18"/>
      <c r="IIM41" s="12"/>
      <c r="IIN41" s="19"/>
      <c r="IIO41" s="16"/>
      <c r="IIP41" s="18"/>
      <c r="IIQ41" s="13"/>
      <c r="IIR41" s="12"/>
      <c r="IIS41" s="18"/>
      <c r="IIT41" s="12"/>
      <c r="IIU41" s="19"/>
      <c r="IIV41" s="16"/>
      <c r="IIW41" s="18"/>
      <c r="IIX41" s="13"/>
      <c r="IIY41" s="12"/>
      <c r="IIZ41" s="18"/>
      <c r="IJA41" s="12"/>
      <c r="IJB41" s="19"/>
      <c r="IJC41" s="16"/>
      <c r="IJD41" s="18"/>
      <c r="IJE41" s="13"/>
      <c r="IJF41" s="12"/>
      <c r="IJG41" s="18"/>
      <c r="IJH41" s="12"/>
      <c r="IJI41" s="19"/>
      <c r="IJJ41" s="16"/>
      <c r="IJK41" s="18"/>
      <c r="IJL41" s="13"/>
      <c r="IJM41" s="12"/>
      <c r="IJN41" s="18"/>
      <c r="IJO41" s="12"/>
      <c r="IJP41" s="19"/>
      <c r="IJQ41" s="16"/>
      <c r="IJR41" s="18"/>
      <c r="IJS41" s="13"/>
      <c r="IJT41" s="12"/>
      <c r="IJU41" s="18"/>
      <c r="IJV41" s="12"/>
      <c r="IJW41" s="19"/>
      <c r="IJX41" s="16"/>
      <c r="IJY41" s="18"/>
      <c r="IJZ41" s="13"/>
      <c r="IKA41" s="12"/>
      <c r="IKB41" s="18"/>
      <c r="IKC41" s="12"/>
      <c r="IKD41" s="19"/>
      <c r="IKE41" s="16"/>
      <c r="IKF41" s="18"/>
      <c r="IKG41" s="13"/>
      <c r="IKH41" s="12"/>
      <c r="IKI41" s="18"/>
      <c r="IKJ41" s="12"/>
      <c r="IKK41" s="19"/>
      <c r="IKL41" s="16"/>
      <c r="IKM41" s="18"/>
      <c r="IKN41" s="13"/>
      <c r="IKO41" s="12"/>
      <c r="IKP41" s="18"/>
      <c r="IKQ41" s="12"/>
      <c r="IKR41" s="19"/>
      <c r="IKS41" s="16"/>
      <c r="IKT41" s="18"/>
      <c r="IKU41" s="13"/>
      <c r="IKV41" s="12"/>
      <c r="IKW41" s="18"/>
      <c r="IKX41" s="12"/>
      <c r="IKY41" s="19"/>
      <c r="IKZ41" s="16"/>
      <c r="ILA41" s="18"/>
      <c r="ILB41" s="13"/>
      <c r="ILC41" s="12"/>
      <c r="ILD41" s="18"/>
      <c r="ILE41" s="12"/>
      <c r="ILF41" s="19"/>
      <c r="ILG41" s="16"/>
      <c r="ILH41" s="18"/>
      <c r="ILI41" s="13"/>
      <c r="ILJ41" s="12"/>
      <c r="ILK41" s="18"/>
      <c r="ILL41" s="12"/>
      <c r="ILM41" s="19"/>
      <c r="ILN41" s="16"/>
      <c r="ILO41" s="18"/>
      <c r="ILP41" s="13"/>
      <c r="ILQ41" s="12"/>
      <c r="ILR41" s="18"/>
      <c r="ILS41" s="12"/>
      <c r="ILT41" s="19"/>
      <c r="ILU41" s="16"/>
      <c r="ILV41" s="18"/>
      <c r="ILW41" s="13"/>
      <c r="ILX41" s="12"/>
      <c r="ILY41" s="18"/>
      <c r="ILZ41" s="12"/>
      <c r="IMA41" s="19"/>
      <c r="IMB41" s="16"/>
      <c r="IMC41" s="18"/>
      <c r="IMD41" s="13"/>
      <c r="IME41" s="12"/>
      <c r="IMF41" s="18"/>
      <c r="IMG41" s="12"/>
      <c r="IMH41" s="19"/>
      <c r="IMI41" s="16"/>
      <c r="IMJ41" s="18"/>
      <c r="IMK41" s="13"/>
      <c r="IML41" s="12"/>
      <c r="IMM41" s="18"/>
      <c r="IMN41" s="12"/>
      <c r="IMO41" s="19"/>
      <c r="IMP41" s="16"/>
      <c r="IMQ41" s="18"/>
      <c r="IMR41" s="13"/>
      <c r="IMS41" s="12"/>
      <c r="IMT41" s="18"/>
      <c r="IMU41" s="12"/>
      <c r="IMV41" s="19"/>
      <c r="IMW41" s="16"/>
      <c r="IMX41" s="18"/>
      <c r="IMY41" s="13"/>
      <c r="IMZ41" s="12"/>
      <c r="INA41" s="18"/>
      <c r="INB41" s="12"/>
      <c r="INC41" s="19"/>
      <c r="IND41" s="16"/>
      <c r="INE41" s="18"/>
      <c r="INF41" s="13"/>
      <c r="ING41" s="12"/>
      <c r="INH41" s="18"/>
      <c r="INI41" s="12"/>
      <c r="INJ41" s="19"/>
      <c r="INK41" s="16"/>
      <c r="INL41" s="18"/>
      <c r="INM41" s="13"/>
      <c r="INN41" s="12"/>
      <c r="INO41" s="18"/>
      <c r="INP41" s="12"/>
      <c r="INQ41" s="19"/>
      <c r="INR41" s="16"/>
      <c r="INS41" s="18"/>
      <c r="INT41" s="13"/>
      <c r="INU41" s="12"/>
      <c r="INV41" s="18"/>
      <c r="INW41" s="12"/>
      <c r="INX41" s="19"/>
      <c r="INY41" s="16"/>
      <c r="INZ41" s="18"/>
      <c r="IOA41" s="13"/>
      <c r="IOB41" s="12"/>
      <c r="IOC41" s="18"/>
      <c r="IOD41" s="12"/>
      <c r="IOE41" s="19"/>
      <c r="IOF41" s="16"/>
      <c r="IOG41" s="18"/>
      <c r="IOH41" s="13"/>
      <c r="IOI41" s="12"/>
      <c r="IOJ41" s="18"/>
      <c r="IOK41" s="12"/>
      <c r="IOL41" s="19"/>
      <c r="IOM41" s="16"/>
      <c r="ION41" s="18"/>
      <c r="IOO41" s="13"/>
      <c r="IOP41" s="12"/>
      <c r="IOQ41" s="18"/>
      <c r="IOR41" s="12"/>
      <c r="IOS41" s="19"/>
      <c r="IOT41" s="16"/>
      <c r="IOU41" s="18"/>
      <c r="IOV41" s="13"/>
      <c r="IOW41" s="12"/>
      <c r="IOX41" s="18"/>
      <c r="IOY41" s="12"/>
      <c r="IOZ41" s="19"/>
      <c r="IPA41" s="16"/>
      <c r="IPB41" s="18"/>
      <c r="IPC41" s="13"/>
      <c r="IPD41" s="12"/>
      <c r="IPE41" s="18"/>
      <c r="IPF41" s="12"/>
      <c r="IPG41" s="19"/>
      <c r="IPH41" s="16"/>
      <c r="IPI41" s="18"/>
      <c r="IPJ41" s="13"/>
      <c r="IPK41" s="12"/>
      <c r="IPL41" s="18"/>
      <c r="IPM41" s="12"/>
      <c r="IPN41" s="19"/>
      <c r="IPO41" s="16"/>
      <c r="IPP41" s="18"/>
      <c r="IPQ41" s="13"/>
      <c r="IPR41" s="12"/>
      <c r="IPS41" s="18"/>
      <c r="IPT41" s="12"/>
      <c r="IPU41" s="19"/>
      <c r="IPV41" s="16"/>
      <c r="IPW41" s="18"/>
      <c r="IPX41" s="13"/>
      <c r="IPY41" s="12"/>
      <c r="IPZ41" s="18"/>
      <c r="IQA41" s="12"/>
      <c r="IQB41" s="19"/>
      <c r="IQC41" s="16"/>
      <c r="IQD41" s="18"/>
      <c r="IQE41" s="13"/>
      <c r="IQF41" s="12"/>
      <c r="IQG41" s="18"/>
      <c r="IQH41" s="12"/>
      <c r="IQI41" s="19"/>
      <c r="IQJ41" s="16"/>
      <c r="IQK41" s="18"/>
      <c r="IQL41" s="13"/>
      <c r="IQM41" s="12"/>
      <c r="IQN41" s="18"/>
      <c r="IQO41" s="12"/>
      <c r="IQP41" s="19"/>
      <c r="IQQ41" s="16"/>
      <c r="IQR41" s="18"/>
      <c r="IQS41" s="13"/>
      <c r="IQT41" s="12"/>
      <c r="IQU41" s="18"/>
      <c r="IQV41" s="12"/>
      <c r="IQW41" s="19"/>
      <c r="IQX41" s="16"/>
      <c r="IQY41" s="18"/>
      <c r="IQZ41" s="13"/>
      <c r="IRA41" s="12"/>
      <c r="IRB41" s="18"/>
      <c r="IRC41" s="12"/>
      <c r="IRD41" s="19"/>
      <c r="IRE41" s="16"/>
      <c r="IRF41" s="18"/>
      <c r="IRG41" s="13"/>
      <c r="IRH41" s="12"/>
      <c r="IRI41" s="18"/>
      <c r="IRJ41" s="12"/>
      <c r="IRK41" s="19"/>
      <c r="IRL41" s="16"/>
      <c r="IRM41" s="18"/>
      <c r="IRN41" s="13"/>
      <c r="IRO41" s="12"/>
      <c r="IRP41" s="18"/>
      <c r="IRQ41" s="12"/>
      <c r="IRR41" s="19"/>
      <c r="IRS41" s="16"/>
      <c r="IRT41" s="18"/>
      <c r="IRU41" s="13"/>
      <c r="IRV41" s="12"/>
      <c r="IRW41" s="18"/>
      <c r="IRX41" s="12"/>
      <c r="IRY41" s="19"/>
      <c r="IRZ41" s="16"/>
      <c r="ISA41" s="18"/>
      <c r="ISB41" s="13"/>
      <c r="ISC41" s="12"/>
      <c r="ISD41" s="18"/>
      <c r="ISE41" s="12"/>
      <c r="ISF41" s="19"/>
      <c r="ISG41" s="16"/>
      <c r="ISH41" s="18"/>
      <c r="ISI41" s="13"/>
      <c r="ISJ41" s="12"/>
      <c r="ISK41" s="18"/>
      <c r="ISL41" s="12"/>
      <c r="ISM41" s="19"/>
      <c r="ISN41" s="16"/>
      <c r="ISO41" s="18"/>
      <c r="ISP41" s="13"/>
      <c r="ISQ41" s="12"/>
      <c r="ISR41" s="18"/>
      <c r="ISS41" s="12"/>
      <c r="IST41" s="19"/>
      <c r="ISU41" s="16"/>
      <c r="ISV41" s="18"/>
      <c r="ISW41" s="13"/>
      <c r="ISX41" s="12"/>
      <c r="ISY41" s="18"/>
      <c r="ISZ41" s="12"/>
      <c r="ITA41" s="19"/>
      <c r="ITB41" s="16"/>
      <c r="ITC41" s="18"/>
      <c r="ITD41" s="13"/>
      <c r="ITE41" s="12"/>
      <c r="ITF41" s="18"/>
      <c r="ITG41" s="12"/>
      <c r="ITH41" s="19"/>
      <c r="ITI41" s="16"/>
      <c r="ITJ41" s="18"/>
      <c r="ITK41" s="13"/>
      <c r="ITL41" s="12"/>
      <c r="ITM41" s="18"/>
      <c r="ITN41" s="12"/>
      <c r="ITO41" s="19"/>
      <c r="ITP41" s="16"/>
      <c r="ITQ41" s="18"/>
      <c r="ITR41" s="13"/>
      <c r="ITS41" s="12"/>
      <c r="ITT41" s="18"/>
      <c r="ITU41" s="12"/>
      <c r="ITV41" s="19"/>
      <c r="ITW41" s="16"/>
      <c r="ITX41" s="18"/>
      <c r="ITY41" s="13"/>
      <c r="ITZ41" s="12"/>
      <c r="IUA41" s="18"/>
      <c r="IUB41" s="12"/>
      <c r="IUC41" s="19"/>
      <c r="IUD41" s="16"/>
      <c r="IUE41" s="18"/>
      <c r="IUF41" s="13"/>
      <c r="IUG41" s="12"/>
      <c r="IUH41" s="18"/>
      <c r="IUI41" s="12"/>
      <c r="IUJ41" s="19"/>
      <c r="IUK41" s="16"/>
      <c r="IUL41" s="18"/>
      <c r="IUM41" s="13"/>
      <c r="IUN41" s="12"/>
      <c r="IUO41" s="18"/>
      <c r="IUP41" s="12"/>
      <c r="IUQ41" s="19"/>
      <c r="IUR41" s="16"/>
      <c r="IUS41" s="18"/>
      <c r="IUT41" s="13"/>
      <c r="IUU41" s="12"/>
      <c r="IUV41" s="18"/>
      <c r="IUW41" s="12"/>
      <c r="IUX41" s="19"/>
      <c r="IUY41" s="16"/>
      <c r="IUZ41" s="18"/>
      <c r="IVA41" s="13"/>
      <c r="IVB41" s="12"/>
      <c r="IVC41" s="18"/>
      <c r="IVD41" s="12"/>
      <c r="IVE41" s="19"/>
      <c r="IVF41" s="16"/>
      <c r="IVG41" s="18"/>
      <c r="IVH41" s="13"/>
      <c r="IVI41" s="12"/>
      <c r="IVJ41" s="18"/>
      <c r="IVK41" s="12"/>
      <c r="IVL41" s="19"/>
      <c r="IVM41" s="16"/>
      <c r="IVN41" s="18"/>
      <c r="IVO41" s="13"/>
      <c r="IVP41" s="12"/>
      <c r="IVQ41" s="18"/>
      <c r="IVR41" s="12"/>
      <c r="IVS41" s="19"/>
      <c r="IVT41" s="16"/>
      <c r="IVU41" s="18"/>
      <c r="IVV41" s="13"/>
      <c r="IVW41" s="12"/>
      <c r="IVX41" s="18"/>
      <c r="IVY41" s="12"/>
      <c r="IVZ41" s="19"/>
      <c r="IWA41" s="16"/>
      <c r="IWB41" s="18"/>
      <c r="IWC41" s="13"/>
      <c r="IWD41" s="12"/>
      <c r="IWE41" s="18"/>
      <c r="IWF41" s="12"/>
      <c r="IWG41" s="19"/>
      <c r="IWH41" s="16"/>
      <c r="IWI41" s="18"/>
      <c r="IWJ41" s="13"/>
      <c r="IWK41" s="12"/>
      <c r="IWL41" s="18"/>
      <c r="IWM41" s="12"/>
      <c r="IWN41" s="19"/>
      <c r="IWO41" s="16"/>
      <c r="IWP41" s="18"/>
      <c r="IWQ41" s="13"/>
      <c r="IWR41" s="12"/>
      <c r="IWS41" s="18"/>
      <c r="IWT41" s="12"/>
      <c r="IWU41" s="19"/>
      <c r="IWV41" s="16"/>
      <c r="IWW41" s="18"/>
      <c r="IWX41" s="13"/>
      <c r="IWY41" s="12"/>
      <c r="IWZ41" s="18"/>
      <c r="IXA41" s="12"/>
      <c r="IXB41" s="19"/>
      <c r="IXC41" s="16"/>
      <c r="IXD41" s="18"/>
      <c r="IXE41" s="13"/>
      <c r="IXF41" s="12"/>
      <c r="IXG41" s="18"/>
      <c r="IXH41" s="12"/>
      <c r="IXI41" s="19"/>
      <c r="IXJ41" s="16"/>
      <c r="IXK41" s="18"/>
      <c r="IXL41" s="13"/>
      <c r="IXM41" s="12"/>
      <c r="IXN41" s="18"/>
      <c r="IXO41" s="12"/>
      <c r="IXP41" s="19"/>
      <c r="IXQ41" s="16"/>
      <c r="IXR41" s="18"/>
      <c r="IXS41" s="13"/>
      <c r="IXT41" s="12"/>
      <c r="IXU41" s="18"/>
      <c r="IXV41" s="12"/>
      <c r="IXW41" s="19"/>
      <c r="IXX41" s="16"/>
      <c r="IXY41" s="18"/>
      <c r="IXZ41" s="13"/>
      <c r="IYA41" s="12"/>
      <c r="IYB41" s="18"/>
      <c r="IYC41" s="12"/>
      <c r="IYD41" s="19"/>
      <c r="IYE41" s="16"/>
      <c r="IYF41" s="18"/>
      <c r="IYG41" s="13"/>
      <c r="IYH41" s="12"/>
      <c r="IYI41" s="18"/>
      <c r="IYJ41" s="12"/>
      <c r="IYK41" s="19"/>
      <c r="IYL41" s="16"/>
      <c r="IYM41" s="18"/>
      <c r="IYN41" s="13"/>
      <c r="IYO41" s="12"/>
      <c r="IYP41" s="18"/>
      <c r="IYQ41" s="12"/>
      <c r="IYR41" s="19"/>
      <c r="IYS41" s="16"/>
      <c r="IYT41" s="18"/>
      <c r="IYU41" s="13"/>
      <c r="IYV41" s="12"/>
      <c r="IYW41" s="18"/>
      <c r="IYX41" s="12"/>
      <c r="IYY41" s="19"/>
      <c r="IYZ41" s="16"/>
      <c r="IZA41" s="18"/>
      <c r="IZB41" s="13"/>
      <c r="IZC41" s="12"/>
      <c r="IZD41" s="18"/>
      <c r="IZE41" s="12"/>
      <c r="IZF41" s="19"/>
      <c r="IZG41" s="16"/>
      <c r="IZH41" s="18"/>
      <c r="IZI41" s="13"/>
      <c r="IZJ41" s="12"/>
      <c r="IZK41" s="18"/>
      <c r="IZL41" s="12"/>
      <c r="IZM41" s="19"/>
      <c r="IZN41" s="16"/>
      <c r="IZO41" s="18"/>
      <c r="IZP41" s="13"/>
      <c r="IZQ41" s="12"/>
      <c r="IZR41" s="18"/>
      <c r="IZS41" s="12"/>
      <c r="IZT41" s="19"/>
      <c r="IZU41" s="16"/>
      <c r="IZV41" s="18"/>
      <c r="IZW41" s="13"/>
      <c r="IZX41" s="12"/>
      <c r="IZY41" s="18"/>
      <c r="IZZ41" s="12"/>
      <c r="JAA41" s="19"/>
      <c r="JAB41" s="16"/>
      <c r="JAC41" s="18"/>
      <c r="JAD41" s="13"/>
      <c r="JAE41" s="12"/>
      <c r="JAF41" s="18"/>
      <c r="JAG41" s="12"/>
      <c r="JAH41" s="19"/>
      <c r="JAI41" s="16"/>
      <c r="JAJ41" s="18"/>
      <c r="JAK41" s="13"/>
      <c r="JAL41" s="12"/>
      <c r="JAM41" s="18"/>
      <c r="JAN41" s="12"/>
      <c r="JAO41" s="19"/>
      <c r="JAP41" s="16"/>
      <c r="JAQ41" s="18"/>
      <c r="JAR41" s="13"/>
      <c r="JAS41" s="12"/>
      <c r="JAT41" s="18"/>
      <c r="JAU41" s="12"/>
      <c r="JAV41" s="19"/>
      <c r="JAW41" s="16"/>
      <c r="JAX41" s="18"/>
      <c r="JAY41" s="13"/>
      <c r="JAZ41" s="12"/>
      <c r="JBA41" s="18"/>
      <c r="JBB41" s="12"/>
      <c r="JBC41" s="19"/>
      <c r="JBD41" s="16"/>
      <c r="JBE41" s="18"/>
      <c r="JBF41" s="13"/>
      <c r="JBG41" s="12"/>
      <c r="JBH41" s="18"/>
      <c r="JBI41" s="12"/>
      <c r="JBJ41" s="19"/>
      <c r="JBK41" s="16"/>
      <c r="JBL41" s="18"/>
      <c r="JBM41" s="13"/>
      <c r="JBN41" s="12"/>
      <c r="JBO41" s="18"/>
      <c r="JBP41" s="12"/>
      <c r="JBQ41" s="19"/>
      <c r="JBR41" s="16"/>
      <c r="JBS41" s="18"/>
      <c r="JBT41" s="13"/>
      <c r="JBU41" s="12"/>
      <c r="JBV41" s="18"/>
      <c r="JBW41" s="12"/>
      <c r="JBX41" s="19"/>
      <c r="JBY41" s="16"/>
      <c r="JBZ41" s="18"/>
      <c r="JCA41" s="13"/>
      <c r="JCB41" s="12"/>
      <c r="JCC41" s="18"/>
      <c r="JCD41" s="12"/>
      <c r="JCE41" s="19"/>
      <c r="JCF41" s="16"/>
      <c r="JCG41" s="18"/>
      <c r="JCH41" s="13"/>
      <c r="JCI41" s="12"/>
      <c r="JCJ41" s="18"/>
      <c r="JCK41" s="12"/>
      <c r="JCL41" s="19"/>
      <c r="JCM41" s="16"/>
      <c r="JCN41" s="18"/>
      <c r="JCO41" s="13"/>
      <c r="JCP41" s="12"/>
      <c r="JCQ41" s="18"/>
      <c r="JCR41" s="12"/>
      <c r="JCS41" s="19"/>
      <c r="JCT41" s="16"/>
      <c r="JCU41" s="18"/>
      <c r="JCV41" s="13"/>
      <c r="JCW41" s="12"/>
      <c r="JCX41" s="18"/>
      <c r="JCY41" s="12"/>
      <c r="JCZ41" s="19"/>
      <c r="JDA41" s="16"/>
      <c r="JDB41" s="18"/>
      <c r="JDC41" s="13"/>
      <c r="JDD41" s="12"/>
      <c r="JDE41" s="18"/>
      <c r="JDF41" s="12"/>
      <c r="JDG41" s="19"/>
      <c r="JDH41" s="16"/>
      <c r="JDI41" s="18"/>
      <c r="JDJ41" s="13"/>
      <c r="JDK41" s="12"/>
      <c r="JDL41" s="18"/>
      <c r="JDM41" s="12"/>
      <c r="JDN41" s="19"/>
      <c r="JDO41" s="16"/>
      <c r="JDP41" s="18"/>
      <c r="JDQ41" s="13"/>
      <c r="JDR41" s="12"/>
      <c r="JDS41" s="18"/>
      <c r="JDT41" s="12"/>
      <c r="JDU41" s="19"/>
      <c r="JDV41" s="16"/>
      <c r="JDW41" s="18"/>
      <c r="JDX41" s="13"/>
      <c r="JDY41" s="12"/>
      <c r="JDZ41" s="18"/>
      <c r="JEA41" s="12"/>
      <c r="JEB41" s="19"/>
      <c r="JEC41" s="16"/>
      <c r="JED41" s="18"/>
      <c r="JEE41" s="13"/>
      <c r="JEF41" s="12"/>
      <c r="JEG41" s="18"/>
      <c r="JEH41" s="12"/>
      <c r="JEI41" s="19"/>
      <c r="JEJ41" s="16"/>
      <c r="JEK41" s="18"/>
      <c r="JEL41" s="13"/>
      <c r="JEM41" s="12"/>
      <c r="JEN41" s="18"/>
      <c r="JEO41" s="12"/>
      <c r="JEP41" s="19"/>
      <c r="JEQ41" s="16"/>
      <c r="JER41" s="18"/>
      <c r="JES41" s="13"/>
      <c r="JET41" s="12"/>
      <c r="JEU41" s="18"/>
      <c r="JEV41" s="12"/>
      <c r="JEW41" s="19"/>
      <c r="JEX41" s="16"/>
      <c r="JEY41" s="18"/>
      <c r="JEZ41" s="13"/>
      <c r="JFA41" s="12"/>
      <c r="JFB41" s="18"/>
      <c r="JFC41" s="12"/>
      <c r="JFD41" s="19"/>
      <c r="JFE41" s="16"/>
      <c r="JFF41" s="18"/>
      <c r="JFG41" s="13"/>
      <c r="JFH41" s="12"/>
      <c r="JFI41" s="18"/>
      <c r="JFJ41" s="12"/>
      <c r="JFK41" s="19"/>
      <c r="JFL41" s="16"/>
      <c r="JFM41" s="18"/>
      <c r="JFN41" s="13"/>
      <c r="JFO41" s="12"/>
      <c r="JFP41" s="18"/>
      <c r="JFQ41" s="12"/>
      <c r="JFR41" s="19"/>
      <c r="JFS41" s="16"/>
      <c r="JFT41" s="18"/>
      <c r="JFU41" s="13"/>
      <c r="JFV41" s="12"/>
      <c r="JFW41" s="18"/>
      <c r="JFX41" s="12"/>
      <c r="JFY41" s="19"/>
      <c r="JFZ41" s="16"/>
      <c r="JGA41" s="18"/>
      <c r="JGB41" s="13"/>
      <c r="JGC41" s="12"/>
      <c r="JGD41" s="18"/>
      <c r="JGE41" s="12"/>
      <c r="JGF41" s="19"/>
      <c r="JGG41" s="16"/>
      <c r="JGH41" s="18"/>
      <c r="JGI41" s="13"/>
      <c r="JGJ41" s="12"/>
      <c r="JGK41" s="18"/>
      <c r="JGL41" s="12"/>
      <c r="JGM41" s="19"/>
      <c r="JGN41" s="16"/>
      <c r="JGO41" s="18"/>
      <c r="JGP41" s="13"/>
      <c r="JGQ41" s="12"/>
      <c r="JGR41" s="18"/>
      <c r="JGS41" s="12"/>
      <c r="JGT41" s="19"/>
      <c r="JGU41" s="16"/>
      <c r="JGV41" s="18"/>
      <c r="JGW41" s="13"/>
      <c r="JGX41" s="12"/>
      <c r="JGY41" s="18"/>
      <c r="JGZ41" s="12"/>
      <c r="JHA41" s="19"/>
      <c r="JHB41" s="16"/>
      <c r="JHC41" s="18"/>
      <c r="JHD41" s="13"/>
      <c r="JHE41" s="12"/>
      <c r="JHF41" s="18"/>
      <c r="JHG41" s="12"/>
      <c r="JHH41" s="19"/>
      <c r="JHI41" s="16"/>
      <c r="JHJ41" s="18"/>
      <c r="JHK41" s="13"/>
      <c r="JHL41" s="12"/>
      <c r="JHM41" s="18"/>
      <c r="JHN41" s="12"/>
      <c r="JHO41" s="19"/>
      <c r="JHP41" s="16"/>
      <c r="JHQ41" s="18"/>
      <c r="JHR41" s="13"/>
      <c r="JHS41" s="12"/>
      <c r="JHT41" s="18"/>
      <c r="JHU41" s="12"/>
      <c r="JHV41" s="19"/>
      <c r="JHW41" s="16"/>
      <c r="JHX41" s="18"/>
      <c r="JHY41" s="13"/>
      <c r="JHZ41" s="12"/>
      <c r="JIA41" s="18"/>
      <c r="JIB41" s="12"/>
      <c r="JIC41" s="19"/>
      <c r="JID41" s="16"/>
      <c r="JIE41" s="18"/>
      <c r="JIF41" s="13"/>
      <c r="JIG41" s="12"/>
      <c r="JIH41" s="18"/>
      <c r="JII41" s="12"/>
      <c r="JIJ41" s="19"/>
      <c r="JIK41" s="16"/>
      <c r="JIL41" s="18"/>
      <c r="JIM41" s="13"/>
      <c r="JIN41" s="12"/>
      <c r="JIO41" s="18"/>
      <c r="JIP41" s="12"/>
      <c r="JIQ41" s="19"/>
      <c r="JIR41" s="16"/>
      <c r="JIS41" s="18"/>
      <c r="JIT41" s="13"/>
      <c r="JIU41" s="12"/>
      <c r="JIV41" s="18"/>
      <c r="JIW41" s="12"/>
      <c r="JIX41" s="19"/>
      <c r="JIY41" s="16"/>
      <c r="JIZ41" s="18"/>
      <c r="JJA41" s="13"/>
      <c r="JJB41" s="12"/>
      <c r="JJC41" s="18"/>
      <c r="JJD41" s="12"/>
      <c r="JJE41" s="19"/>
      <c r="JJF41" s="16"/>
      <c r="JJG41" s="18"/>
      <c r="JJH41" s="13"/>
      <c r="JJI41" s="12"/>
      <c r="JJJ41" s="18"/>
      <c r="JJK41" s="12"/>
      <c r="JJL41" s="19"/>
      <c r="JJM41" s="16"/>
      <c r="JJN41" s="18"/>
      <c r="JJO41" s="13"/>
      <c r="JJP41" s="12"/>
      <c r="JJQ41" s="18"/>
      <c r="JJR41" s="12"/>
      <c r="JJS41" s="19"/>
      <c r="JJT41" s="16"/>
      <c r="JJU41" s="18"/>
      <c r="JJV41" s="13"/>
      <c r="JJW41" s="12"/>
      <c r="JJX41" s="18"/>
      <c r="JJY41" s="12"/>
      <c r="JJZ41" s="19"/>
      <c r="JKA41" s="16"/>
      <c r="JKB41" s="18"/>
      <c r="JKC41" s="13"/>
      <c r="JKD41" s="12"/>
      <c r="JKE41" s="18"/>
      <c r="JKF41" s="12"/>
      <c r="JKG41" s="19"/>
      <c r="JKH41" s="16"/>
      <c r="JKI41" s="18"/>
      <c r="JKJ41" s="13"/>
      <c r="JKK41" s="12"/>
      <c r="JKL41" s="18"/>
      <c r="JKM41" s="12"/>
      <c r="JKN41" s="19"/>
      <c r="JKO41" s="16"/>
      <c r="JKP41" s="18"/>
      <c r="JKQ41" s="13"/>
      <c r="JKR41" s="12"/>
      <c r="JKS41" s="18"/>
      <c r="JKT41" s="12"/>
      <c r="JKU41" s="19"/>
      <c r="JKV41" s="16"/>
      <c r="JKW41" s="18"/>
      <c r="JKX41" s="13"/>
      <c r="JKY41" s="12"/>
      <c r="JKZ41" s="18"/>
      <c r="JLA41" s="12"/>
      <c r="JLB41" s="19"/>
      <c r="JLC41" s="16"/>
      <c r="JLD41" s="18"/>
      <c r="JLE41" s="13"/>
      <c r="JLF41" s="12"/>
      <c r="JLG41" s="18"/>
      <c r="JLH41" s="12"/>
      <c r="JLI41" s="19"/>
      <c r="JLJ41" s="16"/>
      <c r="JLK41" s="18"/>
      <c r="JLL41" s="13"/>
      <c r="JLM41" s="12"/>
      <c r="JLN41" s="18"/>
      <c r="JLO41" s="12"/>
      <c r="JLP41" s="19"/>
      <c r="JLQ41" s="16"/>
      <c r="JLR41" s="18"/>
      <c r="JLS41" s="13"/>
      <c r="JLT41" s="12"/>
      <c r="JLU41" s="18"/>
      <c r="JLV41" s="12"/>
      <c r="JLW41" s="19"/>
      <c r="JLX41" s="16"/>
      <c r="JLY41" s="18"/>
      <c r="JLZ41" s="13"/>
      <c r="JMA41" s="12"/>
      <c r="JMB41" s="18"/>
      <c r="JMC41" s="12"/>
      <c r="JMD41" s="19"/>
      <c r="JME41" s="16"/>
      <c r="JMF41" s="18"/>
      <c r="JMG41" s="13"/>
      <c r="JMH41" s="12"/>
      <c r="JMI41" s="18"/>
      <c r="JMJ41" s="12"/>
      <c r="JMK41" s="19"/>
      <c r="JML41" s="16"/>
      <c r="JMM41" s="18"/>
      <c r="JMN41" s="13"/>
      <c r="JMO41" s="12"/>
      <c r="JMP41" s="18"/>
      <c r="JMQ41" s="12"/>
      <c r="JMR41" s="19"/>
      <c r="JMS41" s="16"/>
      <c r="JMT41" s="18"/>
      <c r="JMU41" s="13"/>
      <c r="JMV41" s="12"/>
      <c r="JMW41" s="18"/>
      <c r="JMX41" s="12"/>
      <c r="JMY41" s="19"/>
      <c r="JMZ41" s="16"/>
      <c r="JNA41" s="18"/>
      <c r="JNB41" s="13"/>
      <c r="JNC41" s="12"/>
      <c r="JND41" s="18"/>
      <c r="JNE41" s="12"/>
      <c r="JNF41" s="19"/>
      <c r="JNG41" s="16"/>
      <c r="JNH41" s="18"/>
      <c r="JNI41" s="13"/>
      <c r="JNJ41" s="12"/>
      <c r="JNK41" s="18"/>
      <c r="JNL41" s="12"/>
      <c r="JNM41" s="19"/>
      <c r="JNN41" s="16"/>
      <c r="JNO41" s="18"/>
      <c r="JNP41" s="13"/>
      <c r="JNQ41" s="12"/>
      <c r="JNR41" s="18"/>
      <c r="JNS41" s="12"/>
      <c r="JNT41" s="19"/>
      <c r="JNU41" s="16"/>
      <c r="JNV41" s="18"/>
      <c r="JNW41" s="13"/>
      <c r="JNX41" s="12"/>
      <c r="JNY41" s="18"/>
      <c r="JNZ41" s="12"/>
      <c r="JOA41" s="19"/>
      <c r="JOB41" s="16"/>
      <c r="JOC41" s="18"/>
      <c r="JOD41" s="13"/>
      <c r="JOE41" s="12"/>
      <c r="JOF41" s="18"/>
      <c r="JOG41" s="12"/>
      <c r="JOH41" s="19"/>
      <c r="JOI41" s="16"/>
      <c r="JOJ41" s="18"/>
      <c r="JOK41" s="13"/>
      <c r="JOL41" s="12"/>
      <c r="JOM41" s="18"/>
      <c r="JON41" s="12"/>
      <c r="JOO41" s="19"/>
      <c r="JOP41" s="16"/>
      <c r="JOQ41" s="18"/>
      <c r="JOR41" s="13"/>
      <c r="JOS41" s="12"/>
      <c r="JOT41" s="18"/>
      <c r="JOU41" s="12"/>
      <c r="JOV41" s="19"/>
      <c r="JOW41" s="16"/>
      <c r="JOX41" s="18"/>
      <c r="JOY41" s="13"/>
      <c r="JOZ41" s="12"/>
      <c r="JPA41" s="18"/>
      <c r="JPB41" s="12"/>
      <c r="JPC41" s="19"/>
      <c r="JPD41" s="16"/>
      <c r="JPE41" s="18"/>
      <c r="JPF41" s="13"/>
      <c r="JPG41" s="12"/>
      <c r="JPH41" s="18"/>
      <c r="JPI41" s="12"/>
      <c r="JPJ41" s="19"/>
      <c r="JPK41" s="16"/>
      <c r="JPL41" s="18"/>
      <c r="JPM41" s="13"/>
      <c r="JPN41" s="12"/>
      <c r="JPO41" s="18"/>
      <c r="JPP41" s="12"/>
      <c r="JPQ41" s="19"/>
      <c r="JPR41" s="16"/>
      <c r="JPS41" s="18"/>
      <c r="JPT41" s="13"/>
      <c r="JPU41" s="12"/>
      <c r="JPV41" s="18"/>
      <c r="JPW41" s="12"/>
      <c r="JPX41" s="19"/>
      <c r="JPY41" s="16"/>
      <c r="JPZ41" s="18"/>
      <c r="JQA41" s="13"/>
      <c r="JQB41" s="12"/>
      <c r="JQC41" s="18"/>
      <c r="JQD41" s="12"/>
      <c r="JQE41" s="19"/>
      <c r="JQF41" s="16"/>
      <c r="JQG41" s="18"/>
      <c r="JQH41" s="13"/>
      <c r="JQI41" s="12"/>
      <c r="JQJ41" s="18"/>
      <c r="JQK41" s="12"/>
      <c r="JQL41" s="19"/>
      <c r="JQM41" s="16"/>
      <c r="JQN41" s="18"/>
      <c r="JQO41" s="13"/>
      <c r="JQP41" s="12"/>
      <c r="JQQ41" s="18"/>
      <c r="JQR41" s="12"/>
      <c r="JQS41" s="19"/>
      <c r="JQT41" s="16"/>
      <c r="JQU41" s="18"/>
      <c r="JQV41" s="13"/>
      <c r="JQW41" s="12"/>
      <c r="JQX41" s="18"/>
      <c r="JQY41" s="12"/>
      <c r="JQZ41" s="19"/>
      <c r="JRA41" s="16"/>
      <c r="JRB41" s="18"/>
      <c r="JRC41" s="13"/>
      <c r="JRD41" s="12"/>
      <c r="JRE41" s="18"/>
      <c r="JRF41" s="12"/>
      <c r="JRG41" s="19"/>
      <c r="JRH41" s="16"/>
      <c r="JRI41" s="18"/>
      <c r="JRJ41" s="13"/>
      <c r="JRK41" s="12"/>
      <c r="JRL41" s="18"/>
      <c r="JRM41" s="12"/>
      <c r="JRN41" s="19"/>
      <c r="JRO41" s="16"/>
      <c r="JRP41" s="18"/>
      <c r="JRQ41" s="13"/>
      <c r="JRR41" s="12"/>
      <c r="JRS41" s="18"/>
      <c r="JRT41" s="12"/>
      <c r="JRU41" s="19"/>
      <c r="JRV41" s="16"/>
      <c r="JRW41" s="18"/>
      <c r="JRX41" s="13"/>
      <c r="JRY41" s="12"/>
      <c r="JRZ41" s="18"/>
      <c r="JSA41" s="12"/>
      <c r="JSB41" s="19"/>
      <c r="JSC41" s="16"/>
      <c r="JSD41" s="18"/>
      <c r="JSE41" s="13"/>
      <c r="JSF41" s="12"/>
      <c r="JSG41" s="18"/>
      <c r="JSH41" s="12"/>
      <c r="JSI41" s="19"/>
      <c r="JSJ41" s="16"/>
      <c r="JSK41" s="18"/>
      <c r="JSL41" s="13"/>
      <c r="JSM41" s="12"/>
      <c r="JSN41" s="18"/>
      <c r="JSO41" s="12"/>
      <c r="JSP41" s="19"/>
      <c r="JSQ41" s="16"/>
      <c r="JSR41" s="18"/>
      <c r="JSS41" s="13"/>
      <c r="JST41" s="12"/>
      <c r="JSU41" s="18"/>
      <c r="JSV41" s="12"/>
      <c r="JSW41" s="19"/>
      <c r="JSX41" s="16"/>
      <c r="JSY41" s="18"/>
      <c r="JSZ41" s="13"/>
      <c r="JTA41" s="12"/>
      <c r="JTB41" s="18"/>
      <c r="JTC41" s="12"/>
      <c r="JTD41" s="19"/>
      <c r="JTE41" s="16"/>
      <c r="JTF41" s="18"/>
      <c r="JTG41" s="13"/>
      <c r="JTH41" s="12"/>
      <c r="JTI41" s="18"/>
      <c r="JTJ41" s="12"/>
      <c r="JTK41" s="19"/>
      <c r="JTL41" s="16"/>
      <c r="JTM41" s="18"/>
      <c r="JTN41" s="13"/>
      <c r="JTO41" s="12"/>
      <c r="JTP41" s="18"/>
      <c r="JTQ41" s="12"/>
      <c r="JTR41" s="19"/>
      <c r="JTS41" s="16"/>
      <c r="JTT41" s="18"/>
      <c r="JTU41" s="13"/>
      <c r="JTV41" s="12"/>
      <c r="JTW41" s="18"/>
      <c r="JTX41" s="12"/>
      <c r="JTY41" s="19"/>
      <c r="JTZ41" s="16"/>
      <c r="JUA41" s="18"/>
      <c r="JUB41" s="13"/>
      <c r="JUC41" s="12"/>
      <c r="JUD41" s="18"/>
      <c r="JUE41" s="12"/>
      <c r="JUF41" s="19"/>
      <c r="JUG41" s="16"/>
      <c r="JUH41" s="18"/>
      <c r="JUI41" s="13"/>
      <c r="JUJ41" s="12"/>
      <c r="JUK41" s="18"/>
      <c r="JUL41" s="12"/>
      <c r="JUM41" s="19"/>
      <c r="JUN41" s="16"/>
      <c r="JUO41" s="18"/>
      <c r="JUP41" s="13"/>
      <c r="JUQ41" s="12"/>
      <c r="JUR41" s="18"/>
      <c r="JUS41" s="12"/>
      <c r="JUT41" s="19"/>
      <c r="JUU41" s="16"/>
      <c r="JUV41" s="18"/>
      <c r="JUW41" s="13"/>
      <c r="JUX41" s="12"/>
      <c r="JUY41" s="18"/>
      <c r="JUZ41" s="12"/>
      <c r="JVA41" s="19"/>
      <c r="JVB41" s="16"/>
      <c r="JVC41" s="18"/>
      <c r="JVD41" s="13"/>
      <c r="JVE41" s="12"/>
      <c r="JVF41" s="18"/>
      <c r="JVG41" s="12"/>
      <c r="JVH41" s="19"/>
      <c r="JVI41" s="16"/>
      <c r="JVJ41" s="18"/>
      <c r="JVK41" s="13"/>
      <c r="JVL41" s="12"/>
      <c r="JVM41" s="18"/>
      <c r="JVN41" s="12"/>
      <c r="JVO41" s="19"/>
      <c r="JVP41" s="16"/>
      <c r="JVQ41" s="18"/>
      <c r="JVR41" s="13"/>
      <c r="JVS41" s="12"/>
      <c r="JVT41" s="18"/>
      <c r="JVU41" s="12"/>
      <c r="JVV41" s="19"/>
      <c r="JVW41" s="16"/>
      <c r="JVX41" s="18"/>
      <c r="JVY41" s="13"/>
      <c r="JVZ41" s="12"/>
      <c r="JWA41" s="18"/>
      <c r="JWB41" s="12"/>
      <c r="JWC41" s="19"/>
      <c r="JWD41" s="16"/>
      <c r="JWE41" s="18"/>
      <c r="JWF41" s="13"/>
      <c r="JWG41" s="12"/>
      <c r="JWH41" s="18"/>
      <c r="JWI41" s="12"/>
      <c r="JWJ41" s="19"/>
      <c r="JWK41" s="16"/>
      <c r="JWL41" s="18"/>
      <c r="JWM41" s="13"/>
      <c r="JWN41" s="12"/>
      <c r="JWO41" s="18"/>
      <c r="JWP41" s="12"/>
      <c r="JWQ41" s="19"/>
      <c r="JWR41" s="16"/>
      <c r="JWS41" s="18"/>
      <c r="JWT41" s="13"/>
      <c r="JWU41" s="12"/>
      <c r="JWV41" s="18"/>
      <c r="JWW41" s="12"/>
      <c r="JWX41" s="19"/>
      <c r="JWY41" s="16"/>
      <c r="JWZ41" s="18"/>
      <c r="JXA41" s="13"/>
      <c r="JXB41" s="12"/>
      <c r="JXC41" s="18"/>
      <c r="JXD41" s="12"/>
      <c r="JXE41" s="19"/>
      <c r="JXF41" s="16"/>
      <c r="JXG41" s="18"/>
      <c r="JXH41" s="13"/>
      <c r="JXI41" s="12"/>
      <c r="JXJ41" s="18"/>
      <c r="JXK41" s="12"/>
      <c r="JXL41" s="19"/>
      <c r="JXM41" s="16"/>
      <c r="JXN41" s="18"/>
      <c r="JXO41" s="13"/>
      <c r="JXP41" s="12"/>
      <c r="JXQ41" s="18"/>
      <c r="JXR41" s="12"/>
      <c r="JXS41" s="19"/>
      <c r="JXT41" s="16"/>
      <c r="JXU41" s="18"/>
      <c r="JXV41" s="13"/>
      <c r="JXW41" s="12"/>
      <c r="JXX41" s="18"/>
      <c r="JXY41" s="12"/>
      <c r="JXZ41" s="19"/>
      <c r="JYA41" s="16"/>
      <c r="JYB41" s="18"/>
      <c r="JYC41" s="13"/>
      <c r="JYD41" s="12"/>
      <c r="JYE41" s="18"/>
      <c r="JYF41" s="12"/>
      <c r="JYG41" s="19"/>
      <c r="JYH41" s="16"/>
      <c r="JYI41" s="18"/>
      <c r="JYJ41" s="13"/>
      <c r="JYK41" s="12"/>
      <c r="JYL41" s="18"/>
      <c r="JYM41" s="12"/>
      <c r="JYN41" s="19"/>
      <c r="JYO41" s="16"/>
      <c r="JYP41" s="18"/>
      <c r="JYQ41" s="13"/>
      <c r="JYR41" s="12"/>
      <c r="JYS41" s="18"/>
      <c r="JYT41" s="12"/>
      <c r="JYU41" s="19"/>
      <c r="JYV41" s="16"/>
      <c r="JYW41" s="18"/>
      <c r="JYX41" s="13"/>
      <c r="JYY41" s="12"/>
      <c r="JYZ41" s="18"/>
      <c r="JZA41" s="12"/>
      <c r="JZB41" s="19"/>
      <c r="JZC41" s="16"/>
      <c r="JZD41" s="18"/>
      <c r="JZE41" s="13"/>
      <c r="JZF41" s="12"/>
      <c r="JZG41" s="18"/>
      <c r="JZH41" s="12"/>
      <c r="JZI41" s="19"/>
      <c r="JZJ41" s="16"/>
      <c r="JZK41" s="18"/>
      <c r="JZL41" s="13"/>
      <c r="JZM41" s="12"/>
      <c r="JZN41" s="18"/>
      <c r="JZO41" s="12"/>
      <c r="JZP41" s="19"/>
      <c r="JZQ41" s="16"/>
      <c r="JZR41" s="18"/>
      <c r="JZS41" s="13"/>
      <c r="JZT41" s="12"/>
      <c r="JZU41" s="18"/>
      <c r="JZV41" s="12"/>
      <c r="JZW41" s="19"/>
      <c r="JZX41" s="16"/>
      <c r="JZY41" s="18"/>
      <c r="JZZ41" s="13"/>
      <c r="KAA41" s="12"/>
      <c r="KAB41" s="18"/>
      <c r="KAC41" s="12"/>
      <c r="KAD41" s="19"/>
      <c r="KAE41" s="16"/>
      <c r="KAF41" s="18"/>
      <c r="KAG41" s="13"/>
      <c r="KAH41" s="12"/>
      <c r="KAI41" s="18"/>
      <c r="KAJ41" s="12"/>
      <c r="KAK41" s="19"/>
      <c r="KAL41" s="16"/>
      <c r="KAM41" s="18"/>
      <c r="KAN41" s="13"/>
      <c r="KAO41" s="12"/>
      <c r="KAP41" s="18"/>
      <c r="KAQ41" s="12"/>
      <c r="KAR41" s="19"/>
      <c r="KAS41" s="16"/>
      <c r="KAT41" s="18"/>
      <c r="KAU41" s="13"/>
      <c r="KAV41" s="12"/>
      <c r="KAW41" s="18"/>
      <c r="KAX41" s="12"/>
      <c r="KAY41" s="19"/>
      <c r="KAZ41" s="16"/>
      <c r="KBA41" s="18"/>
      <c r="KBB41" s="13"/>
      <c r="KBC41" s="12"/>
      <c r="KBD41" s="18"/>
      <c r="KBE41" s="12"/>
      <c r="KBF41" s="19"/>
      <c r="KBG41" s="16"/>
      <c r="KBH41" s="18"/>
      <c r="KBI41" s="13"/>
      <c r="KBJ41" s="12"/>
      <c r="KBK41" s="18"/>
      <c r="KBL41" s="12"/>
      <c r="KBM41" s="19"/>
      <c r="KBN41" s="16"/>
      <c r="KBO41" s="18"/>
      <c r="KBP41" s="13"/>
      <c r="KBQ41" s="12"/>
      <c r="KBR41" s="18"/>
      <c r="KBS41" s="12"/>
      <c r="KBT41" s="19"/>
      <c r="KBU41" s="16"/>
      <c r="KBV41" s="18"/>
      <c r="KBW41" s="13"/>
      <c r="KBX41" s="12"/>
      <c r="KBY41" s="18"/>
      <c r="KBZ41" s="12"/>
      <c r="KCA41" s="19"/>
      <c r="KCB41" s="16"/>
      <c r="KCC41" s="18"/>
      <c r="KCD41" s="13"/>
      <c r="KCE41" s="12"/>
      <c r="KCF41" s="18"/>
      <c r="KCG41" s="12"/>
      <c r="KCH41" s="19"/>
      <c r="KCI41" s="16"/>
      <c r="KCJ41" s="18"/>
      <c r="KCK41" s="13"/>
      <c r="KCL41" s="12"/>
      <c r="KCM41" s="18"/>
      <c r="KCN41" s="12"/>
      <c r="KCO41" s="19"/>
      <c r="KCP41" s="16"/>
      <c r="KCQ41" s="18"/>
      <c r="KCR41" s="13"/>
      <c r="KCS41" s="12"/>
      <c r="KCT41" s="18"/>
      <c r="KCU41" s="12"/>
      <c r="KCV41" s="19"/>
      <c r="KCW41" s="16"/>
      <c r="KCX41" s="18"/>
      <c r="KCY41" s="13"/>
      <c r="KCZ41" s="12"/>
      <c r="KDA41" s="18"/>
      <c r="KDB41" s="12"/>
      <c r="KDC41" s="19"/>
      <c r="KDD41" s="16"/>
      <c r="KDE41" s="18"/>
      <c r="KDF41" s="13"/>
      <c r="KDG41" s="12"/>
      <c r="KDH41" s="18"/>
      <c r="KDI41" s="12"/>
      <c r="KDJ41" s="19"/>
      <c r="KDK41" s="16"/>
      <c r="KDL41" s="18"/>
      <c r="KDM41" s="13"/>
      <c r="KDN41" s="12"/>
      <c r="KDO41" s="18"/>
      <c r="KDP41" s="12"/>
      <c r="KDQ41" s="19"/>
      <c r="KDR41" s="16"/>
      <c r="KDS41" s="18"/>
      <c r="KDT41" s="13"/>
      <c r="KDU41" s="12"/>
      <c r="KDV41" s="18"/>
      <c r="KDW41" s="12"/>
      <c r="KDX41" s="19"/>
      <c r="KDY41" s="16"/>
      <c r="KDZ41" s="18"/>
      <c r="KEA41" s="13"/>
      <c r="KEB41" s="12"/>
      <c r="KEC41" s="18"/>
      <c r="KED41" s="12"/>
      <c r="KEE41" s="19"/>
      <c r="KEF41" s="16"/>
      <c r="KEG41" s="18"/>
      <c r="KEH41" s="13"/>
      <c r="KEI41" s="12"/>
      <c r="KEJ41" s="18"/>
      <c r="KEK41" s="12"/>
      <c r="KEL41" s="19"/>
      <c r="KEM41" s="16"/>
      <c r="KEN41" s="18"/>
      <c r="KEO41" s="13"/>
      <c r="KEP41" s="12"/>
      <c r="KEQ41" s="18"/>
      <c r="KER41" s="12"/>
      <c r="KES41" s="19"/>
      <c r="KET41" s="16"/>
      <c r="KEU41" s="18"/>
      <c r="KEV41" s="13"/>
      <c r="KEW41" s="12"/>
      <c r="KEX41" s="18"/>
      <c r="KEY41" s="12"/>
      <c r="KEZ41" s="19"/>
      <c r="KFA41" s="16"/>
      <c r="KFB41" s="18"/>
      <c r="KFC41" s="13"/>
      <c r="KFD41" s="12"/>
      <c r="KFE41" s="18"/>
      <c r="KFF41" s="12"/>
      <c r="KFG41" s="19"/>
      <c r="KFH41" s="16"/>
      <c r="KFI41" s="18"/>
      <c r="KFJ41" s="13"/>
      <c r="KFK41" s="12"/>
      <c r="KFL41" s="18"/>
      <c r="KFM41" s="12"/>
      <c r="KFN41" s="19"/>
      <c r="KFO41" s="16"/>
      <c r="KFP41" s="18"/>
      <c r="KFQ41" s="13"/>
      <c r="KFR41" s="12"/>
      <c r="KFS41" s="18"/>
      <c r="KFT41" s="12"/>
      <c r="KFU41" s="19"/>
      <c r="KFV41" s="16"/>
      <c r="KFW41" s="18"/>
      <c r="KFX41" s="13"/>
      <c r="KFY41" s="12"/>
      <c r="KFZ41" s="18"/>
      <c r="KGA41" s="12"/>
      <c r="KGB41" s="19"/>
      <c r="KGC41" s="16"/>
      <c r="KGD41" s="18"/>
      <c r="KGE41" s="13"/>
      <c r="KGF41" s="12"/>
      <c r="KGG41" s="18"/>
      <c r="KGH41" s="12"/>
      <c r="KGI41" s="19"/>
      <c r="KGJ41" s="16"/>
      <c r="KGK41" s="18"/>
      <c r="KGL41" s="13"/>
      <c r="KGM41" s="12"/>
      <c r="KGN41" s="18"/>
      <c r="KGO41" s="12"/>
      <c r="KGP41" s="19"/>
      <c r="KGQ41" s="16"/>
      <c r="KGR41" s="18"/>
      <c r="KGS41" s="13"/>
      <c r="KGT41" s="12"/>
      <c r="KGU41" s="18"/>
      <c r="KGV41" s="12"/>
      <c r="KGW41" s="19"/>
      <c r="KGX41" s="16"/>
      <c r="KGY41" s="18"/>
      <c r="KGZ41" s="13"/>
      <c r="KHA41" s="12"/>
      <c r="KHB41" s="18"/>
      <c r="KHC41" s="12"/>
      <c r="KHD41" s="19"/>
      <c r="KHE41" s="16"/>
      <c r="KHF41" s="18"/>
      <c r="KHG41" s="13"/>
      <c r="KHH41" s="12"/>
      <c r="KHI41" s="18"/>
      <c r="KHJ41" s="12"/>
      <c r="KHK41" s="19"/>
      <c r="KHL41" s="16"/>
      <c r="KHM41" s="18"/>
      <c r="KHN41" s="13"/>
      <c r="KHO41" s="12"/>
      <c r="KHP41" s="18"/>
      <c r="KHQ41" s="12"/>
      <c r="KHR41" s="19"/>
      <c r="KHS41" s="16"/>
      <c r="KHT41" s="18"/>
      <c r="KHU41" s="13"/>
      <c r="KHV41" s="12"/>
      <c r="KHW41" s="18"/>
      <c r="KHX41" s="12"/>
      <c r="KHY41" s="19"/>
      <c r="KHZ41" s="16"/>
      <c r="KIA41" s="18"/>
      <c r="KIB41" s="13"/>
      <c r="KIC41" s="12"/>
      <c r="KID41" s="18"/>
      <c r="KIE41" s="12"/>
      <c r="KIF41" s="19"/>
      <c r="KIG41" s="16"/>
      <c r="KIH41" s="18"/>
      <c r="KII41" s="13"/>
      <c r="KIJ41" s="12"/>
      <c r="KIK41" s="18"/>
      <c r="KIL41" s="12"/>
      <c r="KIM41" s="19"/>
      <c r="KIN41" s="16"/>
      <c r="KIO41" s="18"/>
      <c r="KIP41" s="13"/>
      <c r="KIQ41" s="12"/>
      <c r="KIR41" s="18"/>
      <c r="KIS41" s="12"/>
      <c r="KIT41" s="19"/>
      <c r="KIU41" s="16"/>
      <c r="KIV41" s="18"/>
      <c r="KIW41" s="13"/>
      <c r="KIX41" s="12"/>
      <c r="KIY41" s="18"/>
      <c r="KIZ41" s="12"/>
      <c r="KJA41" s="19"/>
      <c r="KJB41" s="16"/>
      <c r="KJC41" s="18"/>
      <c r="KJD41" s="13"/>
      <c r="KJE41" s="12"/>
      <c r="KJF41" s="18"/>
      <c r="KJG41" s="12"/>
      <c r="KJH41" s="19"/>
      <c r="KJI41" s="16"/>
      <c r="KJJ41" s="18"/>
      <c r="KJK41" s="13"/>
      <c r="KJL41" s="12"/>
      <c r="KJM41" s="18"/>
      <c r="KJN41" s="12"/>
      <c r="KJO41" s="19"/>
      <c r="KJP41" s="16"/>
      <c r="KJQ41" s="18"/>
      <c r="KJR41" s="13"/>
      <c r="KJS41" s="12"/>
      <c r="KJT41" s="18"/>
      <c r="KJU41" s="12"/>
      <c r="KJV41" s="19"/>
      <c r="KJW41" s="16"/>
      <c r="KJX41" s="18"/>
      <c r="KJY41" s="13"/>
      <c r="KJZ41" s="12"/>
      <c r="KKA41" s="18"/>
      <c r="KKB41" s="12"/>
      <c r="KKC41" s="19"/>
      <c r="KKD41" s="16"/>
      <c r="KKE41" s="18"/>
      <c r="KKF41" s="13"/>
      <c r="KKG41" s="12"/>
      <c r="KKH41" s="18"/>
      <c r="KKI41" s="12"/>
      <c r="KKJ41" s="19"/>
      <c r="KKK41" s="16"/>
      <c r="KKL41" s="18"/>
      <c r="KKM41" s="13"/>
      <c r="KKN41" s="12"/>
      <c r="KKO41" s="18"/>
      <c r="KKP41" s="12"/>
      <c r="KKQ41" s="19"/>
      <c r="KKR41" s="16"/>
      <c r="KKS41" s="18"/>
      <c r="KKT41" s="13"/>
      <c r="KKU41" s="12"/>
      <c r="KKV41" s="18"/>
      <c r="KKW41" s="12"/>
      <c r="KKX41" s="19"/>
      <c r="KKY41" s="16"/>
      <c r="KKZ41" s="18"/>
      <c r="KLA41" s="13"/>
      <c r="KLB41" s="12"/>
      <c r="KLC41" s="18"/>
      <c r="KLD41" s="12"/>
      <c r="KLE41" s="19"/>
      <c r="KLF41" s="16"/>
      <c r="KLG41" s="18"/>
      <c r="KLH41" s="13"/>
      <c r="KLI41" s="12"/>
      <c r="KLJ41" s="18"/>
      <c r="KLK41" s="12"/>
      <c r="KLL41" s="19"/>
      <c r="KLM41" s="16"/>
      <c r="KLN41" s="18"/>
      <c r="KLO41" s="13"/>
      <c r="KLP41" s="12"/>
      <c r="KLQ41" s="18"/>
      <c r="KLR41" s="12"/>
      <c r="KLS41" s="19"/>
      <c r="KLT41" s="16"/>
      <c r="KLU41" s="18"/>
      <c r="KLV41" s="13"/>
      <c r="KLW41" s="12"/>
      <c r="KLX41" s="18"/>
      <c r="KLY41" s="12"/>
      <c r="KLZ41" s="19"/>
      <c r="KMA41" s="16"/>
      <c r="KMB41" s="18"/>
      <c r="KMC41" s="13"/>
      <c r="KMD41" s="12"/>
      <c r="KME41" s="18"/>
      <c r="KMF41" s="12"/>
      <c r="KMG41" s="19"/>
      <c r="KMH41" s="16"/>
      <c r="KMI41" s="18"/>
      <c r="KMJ41" s="13"/>
      <c r="KMK41" s="12"/>
      <c r="KML41" s="18"/>
      <c r="KMM41" s="12"/>
      <c r="KMN41" s="19"/>
      <c r="KMO41" s="16"/>
      <c r="KMP41" s="18"/>
      <c r="KMQ41" s="13"/>
      <c r="KMR41" s="12"/>
      <c r="KMS41" s="18"/>
      <c r="KMT41" s="12"/>
      <c r="KMU41" s="19"/>
      <c r="KMV41" s="16"/>
      <c r="KMW41" s="18"/>
      <c r="KMX41" s="13"/>
      <c r="KMY41" s="12"/>
      <c r="KMZ41" s="18"/>
      <c r="KNA41" s="12"/>
      <c r="KNB41" s="19"/>
      <c r="KNC41" s="16"/>
      <c r="KND41" s="18"/>
      <c r="KNE41" s="13"/>
      <c r="KNF41" s="12"/>
      <c r="KNG41" s="18"/>
      <c r="KNH41" s="12"/>
      <c r="KNI41" s="19"/>
      <c r="KNJ41" s="16"/>
      <c r="KNK41" s="18"/>
      <c r="KNL41" s="13"/>
      <c r="KNM41" s="12"/>
      <c r="KNN41" s="18"/>
      <c r="KNO41" s="12"/>
      <c r="KNP41" s="19"/>
      <c r="KNQ41" s="16"/>
      <c r="KNR41" s="18"/>
      <c r="KNS41" s="13"/>
      <c r="KNT41" s="12"/>
      <c r="KNU41" s="18"/>
      <c r="KNV41" s="12"/>
      <c r="KNW41" s="19"/>
      <c r="KNX41" s="16"/>
      <c r="KNY41" s="18"/>
      <c r="KNZ41" s="13"/>
      <c r="KOA41" s="12"/>
      <c r="KOB41" s="18"/>
      <c r="KOC41" s="12"/>
      <c r="KOD41" s="19"/>
      <c r="KOE41" s="16"/>
      <c r="KOF41" s="18"/>
      <c r="KOG41" s="13"/>
      <c r="KOH41" s="12"/>
      <c r="KOI41" s="18"/>
      <c r="KOJ41" s="12"/>
      <c r="KOK41" s="19"/>
      <c r="KOL41" s="16"/>
      <c r="KOM41" s="18"/>
      <c r="KON41" s="13"/>
      <c r="KOO41" s="12"/>
      <c r="KOP41" s="18"/>
      <c r="KOQ41" s="12"/>
      <c r="KOR41" s="19"/>
      <c r="KOS41" s="16"/>
      <c r="KOT41" s="18"/>
      <c r="KOU41" s="13"/>
      <c r="KOV41" s="12"/>
      <c r="KOW41" s="18"/>
      <c r="KOX41" s="12"/>
      <c r="KOY41" s="19"/>
      <c r="KOZ41" s="16"/>
      <c r="KPA41" s="18"/>
      <c r="KPB41" s="13"/>
      <c r="KPC41" s="12"/>
      <c r="KPD41" s="18"/>
      <c r="KPE41" s="12"/>
      <c r="KPF41" s="19"/>
      <c r="KPG41" s="16"/>
      <c r="KPH41" s="18"/>
      <c r="KPI41" s="13"/>
      <c r="KPJ41" s="12"/>
      <c r="KPK41" s="18"/>
      <c r="KPL41" s="12"/>
      <c r="KPM41" s="19"/>
      <c r="KPN41" s="16"/>
      <c r="KPO41" s="18"/>
      <c r="KPP41" s="13"/>
      <c r="KPQ41" s="12"/>
      <c r="KPR41" s="18"/>
      <c r="KPS41" s="12"/>
      <c r="KPT41" s="19"/>
      <c r="KPU41" s="16"/>
      <c r="KPV41" s="18"/>
      <c r="KPW41" s="13"/>
      <c r="KPX41" s="12"/>
      <c r="KPY41" s="18"/>
      <c r="KPZ41" s="12"/>
      <c r="KQA41" s="19"/>
      <c r="KQB41" s="16"/>
      <c r="KQC41" s="18"/>
      <c r="KQD41" s="13"/>
      <c r="KQE41" s="12"/>
      <c r="KQF41" s="18"/>
      <c r="KQG41" s="12"/>
      <c r="KQH41" s="19"/>
      <c r="KQI41" s="16"/>
      <c r="KQJ41" s="18"/>
      <c r="KQK41" s="13"/>
      <c r="KQL41" s="12"/>
      <c r="KQM41" s="18"/>
      <c r="KQN41" s="12"/>
      <c r="KQO41" s="19"/>
      <c r="KQP41" s="16"/>
      <c r="KQQ41" s="18"/>
      <c r="KQR41" s="13"/>
      <c r="KQS41" s="12"/>
      <c r="KQT41" s="18"/>
      <c r="KQU41" s="12"/>
      <c r="KQV41" s="19"/>
      <c r="KQW41" s="16"/>
      <c r="KQX41" s="18"/>
      <c r="KQY41" s="13"/>
      <c r="KQZ41" s="12"/>
      <c r="KRA41" s="18"/>
      <c r="KRB41" s="12"/>
      <c r="KRC41" s="19"/>
      <c r="KRD41" s="16"/>
      <c r="KRE41" s="18"/>
      <c r="KRF41" s="13"/>
      <c r="KRG41" s="12"/>
      <c r="KRH41" s="18"/>
      <c r="KRI41" s="12"/>
      <c r="KRJ41" s="19"/>
      <c r="KRK41" s="16"/>
      <c r="KRL41" s="18"/>
      <c r="KRM41" s="13"/>
      <c r="KRN41" s="12"/>
      <c r="KRO41" s="18"/>
      <c r="KRP41" s="12"/>
      <c r="KRQ41" s="19"/>
      <c r="KRR41" s="16"/>
      <c r="KRS41" s="18"/>
      <c r="KRT41" s="13"/>
      <c r="KRU41" s="12"/>
      <c r="KRV41" s="18"/>
      <c r="KRW41" s="12"/>
      <c r="KRX41" s="19"/>
      <c r="KRY41" s="16"/>
      <c r="KRZ41" s="18"/>
      <c r="KSA41" s="13"/>
      <c r="KSB41" s="12"/>
      <c r="KSC41" s="18"/>
      <c r="KSD41" s="12"/>
      <c r="KSE41" s="19"/>
      <c r="KSF41" s="16"/>
      <c r="KSG41" s="18"/>
      <c r="KSH41" s="13"/>
      <c r="KSI41" s="12"/>
      <c r="KSJ41" s="18"/>
      <c r="KSK41" s="12"/>
      <c r="KSL41" s="19"/>
      <c r="KSM41" s="16"/>
      <c r="KSN41" s="18"/>
      <c r="KSO41" s="13"/>
      <c r="KSP41" s="12"/>
      <c r="KSQ41" s="18"/>
      <c r="KSR41" s="12"/>
      <c r="KSS41" s="19"/>
      <c r="KST41" s="16"/>
      <c r="KSU41" s="18"/>
      <c r="KSV41" s="13"/>
      <c r="KSW41" s="12"/>
      <c r="KSX41" s="18"/>
      <c r="KSY41" s="12"/>
      <c r="KSZ41" s="19"/>
      <c r="KTA41" s="16"/>
      <c r="KTB41" s="18"/>
      <c r="KTC41" s="13"/>
      <c r="KTD41" s="12"/>
      <c r="KTE41" s="18"/>
      <c r="KTF41" s="12"/>
      <c r="KTG41" s="19"/>
      <c r="KTH41" s="16"/>
      <c r="KTI41" s="18"/>
      <c r="KTJ41" s="13"/>
      <c r="KTK41" s="12"/>
      <c r="KTL41" s="18"/>
      <c r="KTM41" s="12"/>
      <c r="KTN41" s="19"/>
      <c r="KTO41" s="16"/>
      <c r="KTP41" s="18"/>
      <c r="KTQ41" s="13"/>
      <c r="KTR41" s="12"/>
      <c r="KTS41" s="18"/>
      <c r="KTT41" s="12"/>
      <c r="KTU41" s="19"/>
      <c r="KTV41" s="16"/>
      <c r="KTW41" s="18"/>
      <c r="KTX41" s="13"/>
      <c r="KTY41" s="12"/>
      <c r="KTZ41" s="18"/>
      <c r="KUA41" s="12"/>
      <c r="KUB41" s="19"/>
      <c r="KUC41" s="16"/>
      <c r="KUD41" s="18"/>
      <c r="KUE41" s="13"/>
      <c r="KUF41" s="12"/>
      <c r="KUG41" s="18"/>
      <c r="KUH41" s="12"/>
      <c r="KUI41" s="19"/>
      <c r="KUJ41" s="16"/>
      <c r="KUK41" s="18"/>
      <c r="KUL41" s="13"/>
      <c r="KUM41" s="12"/>
      <c r="KUN41" s="18"/>
      <c r="KUO41" s="12"/>
      <c r="KUP41" s="19"/>
      <c r="KUQ41" s="16"/>
      <c r="KUR41" s="18"/>
      <c r="KUS41" s="13"/>
      <c r="KUT41" s="12"/>
      <c r="KUU41" s="18"/>
      <c r="KUV41" s="12"/>
      <c r="KUW41" s="19"/>
      <c r="KUX41" s="16"/>
      <c r="KUY41" s="18"/>
      <c r="KUZ41" s="13"/>
      <c r="KVA41" s="12"/>
      <c r="KVB41" s="18"/>
      <c r="KVC41" s="12"/>
      <c r="KVD41" s="19"/>
      <c r="KVE41" s="16"/>
      <c r="KVF41" s="18"/>
      <c r="KVG41" s="13"/>
      <c r="KVH41" s="12"/>
      <c r="KVI41" s="18"/>
      <c r="KVJ41" s="12"/>
      <c r="KVK41" s="19"/>
      <c r="KVL41" s="16"/>
      <c r="KVM41" s="18"/>
      <c r="KVN41" s="13"/>
      <c r="KVO41" s="12"/>
      <c r="KVP41" s="18"/>
      <c r="KVQ41" s="12"/>
      <c r="KVR41" s="19"/>
      <c r="KVS41" s="16"/>
      <c r="KVT41" s="18"/>
      <c r="KVU41" s="13"/>
      <c r="KVV41" s="12"/>
      <c r="KVW41" s="18"/>
      <c r="KVX41" s="12"/>
      <c r="KVY41" s="19"/>
      <c r="KVZ41" s="16"/>
      <c r="KWA41" s="18"/>
      <c r="KWB41" s="13"/>
      <c r="KWC41" s="12"/>
      <c r="KWD41" s="18"/>
      <c r="KWE41" s="12"/>
      <c r="KWF41" s="19"/>
      <c r="KWG41" s="16"/>
      <c r="KWH41" s="18"/>
      <c r="KWI41" s="13"/>
      <c r="KWJ41" s="12"/>
      <c r="KWK41" s="18"/>
      <c r="KWL41" s="12"/>
      <c r="KWM41" s="19"/>
      <c r="KWN41" s="16"/>
      <c r="KWO41" s="18"/>
      <c r="KWP41" s="13"/>
      <c r="KWQ41" s="12"/>
      <c r="KWR41" s="18"/>
      <c r="KWS41" s="12"/>
      <c r="KWT41" s="19"/>
      <c r="KWU41" s="16"/>
      <c r="KWV41" s="18"/>
      <c r="KWW41" s="13"/>
      <c r="KWX41" s="12"/>
      <c r="KWY41" s="18"/>
      <c r="KWZ41" s="12"/>
      <c r="KXA41" s="19"/>
      <c r="KXB41" s="16"/>
      <c r="KXC41" s="18"/>
      <c r="KXD41" s="13"/>
      <c r="KXE41" s="12"/>
      <c r="KXF41" s="18"/>
      <c r="KXG41" s="12"/>
      <c r="KXH41" s="19"/>
      <c r="KXI41" s="16"/>
      <c r="KXJ41" s="18"/>
      <c r="KXK41" s="13"/>
      <c r="KXL41" s="12"/>
      <c r="KXM41" s="18"/>
      <c r="KXN41" s="12"/>
      <c r="KXO41" s="19"/>
      <c r="KXP41" s="16"/>
      <c r="KXQ41" s="18"/>
      <c r="KXR41" s="13"/>
      <c r="KXS41" s="12"/>
      <c r="KXT41" s="18"/>
      <c r="KXU41" s="12"/>
      <c r="KXV41" s="19"/>
      <c r="KXW41" s="16"/>
      <c r="KXX41" s="18"/>
      <c r="KXY41" s="13"/>
      <c r="KXZ41" s="12"/>
      <c r="KYA41" s="18"/>
      <c r="KYB41" s="12"/>
      <c r="KYC41" s="19"/>
      <c r="KYD41" s="16"/>
      <c r="KYE41" s="18"/>
      <c r="KYF41" s="13"/>
      <c r="KYG41" s="12"/>
      <c r="KYH41" s="18"/>
      <c r="KYI41" s="12"/>
      <c r="KYJ41" s="19"/>
      <c r="KYK41" s="16"/>
      <c r="KYL41" s="18"/>
      <c r="KYM41" s="13"/>
      <c r="KYN41" s="12"/>
      <c r="KYO41" s="18"/>
      <c r="KYP41" s="12"/>
      <c r="KYQ41" s="19"/>
      <c r="KYR41" s="16"/>
      <c r="KYS41" s="18"/>
      <c r="KYT41" s="13"/>
      <c r="KYU41" s="12"/>
      <c r="KYV41" s="18"/>
      <c r="KYW41" s="12"/>
      <c r="KYX41" s="19"/>
      <c r="KYY41" s="16"/>
      <c r="KYZ41" s="18"/>
      <c r="KZA41" s="13"/>
      <c r="KZB41" s="12"/>
      <c r="KZC41" s="18"/>
      <c r="KZD41" s="12"/>
      <c r="KZE41" s="19"/>
      <c r="KZF41" s="16"/>
      <c r="KZG41" s="18"/>
      <c r="KZH41" s="13"/>
      <c r="KZI41" s="12"/>
      <c r="KZJ41" s="18"/>
      <c r="KZK41" s="12"/>
      <c r="KZL41" s="19"/>
      <c r="KZM41" s="16"/>
      <c r="KZN41" s="18"/>
      <c r="KZO41" s="13"/>
      <c r="KZP41" s="12"/>
      <c r="KZQ41" s="18"/>
      <c r="KZR41" s="12"/>
      <c r="KZS41" s="19"/>
      <c r="KZT41" s="16"/>
      <c r="KZU41" s="18"/>
      <c r="KZV41" s="13"/>
      <c r="KZW41" s="12"/>
      <c r="KZX41" s="18"/>
      <c r="KZY41" s="12"/>
      <c r="KZZ41" s="19"/>
      <c r="LAA41" s="16"/>
      <c r="LAB41" s="18"/>
      <c r="LAC41" s="13"/>
      <c r="LAD41" s="12"/>
      <c r="LAE41" s="18"/>
      <c r="LAF41" s="12"/>
      <c r="LAG41" s="19"/>
      <c r="LAH41" s="16"/>
      <c r="LAI41" s="18"/>
      <c r="LAJ41" s="13"/>
      <c r="LAK41" s="12"/>
      <c r="LAL41" s="18"/>
      <c r="LAM41" s="12"/>
      <c r="LAN41" s="19"/>
      <c r="LAO41" s="16"/>
      <c r="LAP41" s="18"/>
      <c r="LAQ41" s="13"/>
      <c r="LAR41" s="12"/>
      <c r="LAS41" s="18"/>
      <c r="LAT41" s="12"/>
      <c r="LAU41" s="19"/>
      <c r="LAV41" s="16"/>
      <c r="LAW41" s="18"/>
      <c r="LAX41" s="13"/>
      <c r="LAY41" s="12"/>
      <c r="LAZ41" s="18"/>
      <c r="LBA41" s="12"/>
      <c r="LBB41" s="19"/>
      <c r="LBC41" s="16"/>
      <c r="LBD41" s="18"/>
      <c r="LBE41" s="13"/>
      <c r="LBF41" s="12"/>
      <c r="LBG41" s="18"/>
      <c r="LBH41" s="12"/>
      <c r="LBI41" s="19"/>
      <c r="LBJ41" s="16"/>
      <c r="LBK41" s="18"/>
      <c r="LBL41" s="13"/>
      <c r="LBM41" s="12"/>
      <c r="LBN41" s="18"/>
      <c r="LBO41" s="12"/>
      <c r="LBP41" s="19"/>
      <c r="LBQ41" s="16"/>
      <c r="LBR41" s="18"/>
      <c r="LBS41" s="13"/>
      <c r="LBT41" s="12"/>
      <c r="LBU41" s="18"/>
      <c r="LBV41" s="12"/>
      <c r="LBW41" s="19"/>
      <c r="LBX41" s="16"/>
      <c r="LBY41" s="18"/>
      <c r="LBZ41" s="13"/>
      <c r="LCA41" s="12"/>
      <c r="LCB41" s="18"/>
      <c r="LCC41" s="12"/>
      <c r="LCD41" s="19"/>
      <c r="LCE41" s="16"/>
      <c r="LCF41" s="18"/>
      <c r="LCG41" s="13"/>
      <c r="LCH41" s="12"/>
      <c r="LCI41" s="18"/>
      <c r="LCJ41" s="12"/>
      <c r="LCK41" s="19"/>
      <c r="LCL41" s="16"/>
      <c r="LCM41" s="18"/>
      <c r="LCN41" s="13"/>
      <c r="LCO41" s="12"/>
      <c r="LCP41" s="18"/>
      <c r="LCQ41" s="12"/>
      <c r="LCR41" s="19"/>
      <c r="LCS41" s="16"/>
      <c r="LCT41" s="18"/>
      <c r="LCU41" s="13"/>
      <c r="LCV41" s="12"/>
      <c r="LCW41" s="18"/>
      <c r="LCX41" s="12"/>
      <c r="LCY41" s="19"/>
      <c r="LCZ41" s="16"/>
      <c r="LDA41" s="18"/>
      <c r="LDB41" s="13"/>
      <c r="LDC41" s="12"/>
      <c r="LDD41" s="18"/>
      <c r="LDE41" s="12"/>
      <c r="LDF41" s="19"/>
      <c r="LDG41" s="16"/>
      <c r="LDH41" s="18"/>
      <c r="LDI41" s="13"/>
      <c r="LDJ41" s="12"/>
      <c r="LDK41" s="18"/>
      <c r="LDL41" s="12"/>
      <c r="LDM41" s="19"/>
      <c r="LDN41" s="16"/>
      <c r="LDO41" s="18"/>
      <c r="LDP41" s="13"/>
      <c r="LDQ41" s="12"/>
      <c r="LDR41" s="18"/>
      <c r="LDS41" s="12"/>
      <c r="LDT41" s="19"/>
      <c r="LDU41" s="16"/>
      <c r="LDV41" s="18"/>
      <c r="LDW41" s="13"/>
      <c r="LDX41" s="12"/>
      <c r="LDY41" s="18"/>
      <c r="LDZ41" s="12"/>
      <c r="LEA41" s="19"/>
      <c r="LEB41" s="16"/>
      <c r="LEC41" s="18"/>
      <c r="LED41" s="13"/>
      <c r="LEE41" s="12"/>
      <c r="LEF41" s="18"/>
      <c r="LEG41" s="12"/>
      <c r="LEH41" s="19"/>
      <c r="LEI41" s="16"/>
      <c r="LEJ41" s="18"/>
      <c r="LEK41" s="13"/>
      <c r="LEL41" s="12"/>
      <c r="LEM41" s="18"/>
      <c r="LEN41" s="12"/>
      <c r="LEO41" s="19"/>
      <c r="LEP41" s="16"/>
      <c r="LEQ41" s="18"/>
      <c r="LER41" s="13"/>
      <c r="LES41" s="12"/>
      <c r="LET41" s="18"/>
      <c r="LEU41" s="12"/>
      <c r="LEV41" s="19"/>
      <c r="LEW41" s="16"/>
      <c r="LEX41" s="18"/>
      <c r="LEY41" s="13"/>
      <c r="LEZ41" s="12"/>
      <c r="LFA41" s="18"/>
      <c r="LFB41" s="12"/>
      <c r="LFC41" s="19"/>
      <c r="LFD41" s="16"/>
      <c r="LFE41" s="18"/>
      <c r="LFF41" s="13"/>
      <c r="LFG41" s="12"/>
      <c r="LFH41" s="18"/>
      <c r="LFI41" s="12"/>
      <c r="LFJ41" s="19"/>
      <c r="LFK41" s="16"/>
      <c r="LFL41" s="18"/>
      <c r="LFM41" s="13"/>
      <c r="LFN41" s="12"/>
      <c r="LFO41" s="18"/>
      <c r="LFP41" s="12"/>
      <c r="LFQ41" s="19"/>
      <c r="LFR41" s="16"/>
      <c r="LFS41" s="18"/>
      <c r="LFT41" s="13"/>
      <c r="LFU41" s="12"/>
      <c r="LFV41" s="18"/>
      <c r="LFW41" s="12"/>
      <c r="LFX41" s="19"/>
      <c r="LFY41" s="16"/>
      <c r="LFZ41" s="18"/>
      <c r="LGA41" s="13"/>
      <c r="LGB41" s="12"/>
      <c r="LGC41" s="18"/>
      <c r="LGD41" s="12"/>
      <c r="LGE41" s="19"/>
      <c r="LGF41" s="16"/>
      <c r="LGG41" s="18"/>
      <c r="LGH41" s="13"/>
      <c r="LGI41" s="12"/>
      <c r="LGJ41" s="18"/>
      <c r="LGK41" s="12"/>
      <c r="LGL41" s="19"/>
      <c r="LGM41" s="16"/>
      <c r="LGN41" s="18"/>
      <c r="LGO41" s="13"/>
      <c r="LGP41" s="12"/>
      <c r="LGQ41" s="18"/>
      <c r="LGR41" s="12"/>
      <c r="LGS41" s="19"/>
      <c r="LGT41" s="16"/>
      <c r="LGU41" s="18"/>
      <c r="LGV41" s="13"/>
      <c r="LGW41" s="12"/>
      <c r="LGX41" s="18"/>
      <c r="LGY41" s="12"/>
      <c r="LGZ41" s="19"/>
      <c r="LHA41" s="16"/>
      <c r="LHB41" s="18"/>
      <c r="LHC41" s="13"/>
      <c r="LHD41" s="12"/>
      <c r="LHE41" s="18"/>
      <c r="LHF41" s="12"/>
      <c r="LHG41" s="19"/>
      <c r="LHH41" s="16"/>
      <c r="LHI41" s="18"/>
      <c r="LHJ41" s="13"/>
      <c r="LHK41" s="12"/>
      <c r="LHL41" s="18"/>
      <c r="LHM41" s="12"/>
      <c r="LHN41" s="19"/>
      <c r="LHO41" s="16"/>
      <c r="LHP41" s="18"/>
      <c r="LHQ41" s="13"/>
      <c r="LHR41" s="12"/>
      <c r="LHS41" s="18"/>
      <c r="LHT41" s="12"/>
      <c r="LHU41" s="19"/>
      <c r="LHV41" s="16"/>
      <c r="LHW41" s="18"/>
      <c r="LHX41" s="13"/>
      <c r="LHY41" s="12"/>
      <c r="LHZ41" s="18"/>
      <c r="LIA41" s="12"/>
      <c r="LIB41" s="19"/>
      <c r="LIC41" s="16"/>
      <c r="LID41" s="18"/>
      <c r="LIE41" s="13"/>
      <c r="LIF41" s="12"/>
      <c r="LIG41" s="18"/>
      <c r="LIH41" s="12"/>
      <c r="LII41" s="19"/>
      <c r="LIJ41" s="16"/>
      <c r="LIK41" s="18"/>
      <c r="LIL41" s="13"/>
      <c r="LIM41" s="12"/>
      <c r="LIN41" s="18"/>
      <c r="LIO41" s="12"/>
      <c r="LIP41" s="19"/>
      <c r="LIQ41" s="16"/>
      <c r="LIR41" s="18"/>
      <c r="LIS41" s="13"/>
      <c r="LIT41" s="12"/>
      <c r="LIU41" s="18"/>
      <c r="LIV41" s="12"/>
      <c r="LIW41" s="19"/>
      <c r="LIX41" s="16"/>
      <c r="LIY41" s="18"/>
      <c r="LIZ41" s="13"/>
      <c r="LJA41" s="12"/>
      <c r="LJB41" s="18"/>
      <c r="LJC41" s="12"/>
      <c r="LJD41" s="19"/>
      <c r="LJE41" s="16"/>
      <c r="LJF41" s="18"/>
      <c r="LJG41" s="13"/>
      <c r="LJH41" s="12"/>
      <c r="LJI41" s="18"/>
      <c r="LJJ41" s="12"/>
      <c r="LJK41" s="19"/>
      <c r="LJL41" s="16"/>
      <c r="LJM41" s="18"/>
      <c r="LJN41" s="13"/>
      <c r="LJO41" s="12"/>
      <c r="LJP41" s="18"/>
      <c r="LJQ41" s="12"/>
      <c r="LJR41" s="19"/>
      <c r="LJS41" s="16"/>
      <c r="LJT41" s="18"/>
      <c r="LJU41" s="13"/>
      <c r="LJV41" s="12"/>
      <c r="LJW41" s="18"/>
      <c r="LJX41" s="12"/>
      <c r="LJY41" s="19"/>
      <c r="LJZ41" s="16"/>
      <c r="LKA41" s="18"/>
      <c r="LKB41" s="13"/>
      <c r="LKC41" s="12"/>
      <c r="LKD41" s="18"/>
      <c r="LKE41" s="12"/>
      <c r="LKF41" s="19"/>
      <c r="LKG41" s="16"/>
      <c r="LKH41" s="18"/>
      <c r="LKI41" s="13"/>
      <c r="LKJ41" s="12"/>
      <c r="LKK41" s="18"/>
      <c r="LKL41" s="12"/>
      <c r="LKM41" s="19"/>
      <c r="LKN41" s="16"/>
      <c r="LKO41" s="18"/>
      <c r="LKP41" s="13"/>
      <c r="LKQ41" s="12"/>
      <c r="LKR41" s="18"/>
      <c r="LKS41" s="12"/>
      <c r="LKT41" s="19"/>
      <c r="LKU41" s="16"/>
      <c r="LKV41" s="18"/>
      <c r="LKW41" s="13"/>
      <c r="LKX41" s="12"/>
      <c r="LKY41" s="18"/>
      <c r="LKZ41" s="12"/>
      <c r="LLA41" s="19"/>
      <c r="LLB41" s="16"/>
      <c r="LLC41" s="18"/>
      <c r="LLD41" s="13"/>
      <c r="LLE41" s="12"/>
      <c r="LLF41" s="18"/>
      <c r="LLG41" s="12"/>
      <c r="LLH41" s="19"/>
      <c r="LLI41" s="16"/>
      <c r="LLJ41" s="18"/>
      <c r="LLK41" s="13"/>
      <c r="LLL41" s="12"/>
      <c r="LLM41" s="18"/>
      <c r="LLN41" s="12"/>
      <c r="LLO41" s="19"/>
      <c r="LLP41" s="16"/>
      <c r="LLQ41" s="18"/>
      <c r="LLR41" s="13"/>
      <c r="LLS41" s="12"/>
      <c r="LLT41" s="18"/>
      <c r="LLU41" s="12"/>
      <c r="LLV41" s="19"/>
      <c r="LLW41" s="16"/>
      <c r="LLX41" s="18"/>
      <c r="LLY41" s="13"/>
      <c r="LLZ41" s="12"/>
      <c r="LMA41" s="18"/>
      <c r="LMB41" s="12"/>
      <c r="LMC41" s="19"/>
      <c r="LMD41" s="16"/>
      <c r="LME41" s="18"/>
      <c r="LMF41" s="13"/>
      <c r="LMG41" s="12"/>
      <c r="LMH41" s="18"/>
      <c r="LMI41" s="12"/>
      <c r="LMJ41" s="19"/>
      <c r="LMK41" s="16"/>
      <c r="LML41" s="18"/>
      <c r="LMM41" s="13"/>
      <c r="LMN41" s="12"/>
      <c r="LMO41" s="18"/>
      <c r="LMP41" s="12"/>
      <c r="LMQ41" s="19"/>
      <c r="LMR41" s="16"/>
      <c r="LMS41" s="18"/>
      <c r="LMT41" s="13"/>
      <c r="LMU41" s="12"/>
      <c r="LMV41" s="18"/>
      <c r="LMW41" s="12"/>
      <c r="LMX41" s="19"/>
      <c r="LMY41" s="16"/>
      <c r="LMZ41" s="18"/>
      <c r="LNA41" s="13"/>
      <c r="LNB41" s="12"/>
      <c r="LNC41" s="18"/>
      <c r="LND41" s="12"/>
      <c r="LNE41" s="19"/>
      <c r="LNF41" s="16"/>
      <c r="LNG41" s="18"/>
      <c r="LNH41" s="13"/>
      <c r="LNI41" s="12"/>
      <c r="LNJ41" s="18"/>
      <c r="LNK41" s="12"/>
      <c r="LNL41" s="19"/>
      <c r="LNM41" s="16"/>
      <c r="LNN41" s="18"/>
      <c r="LNO41" s="13"/>
      <c r="LNP41" s="12"/>
      <c r="LNQ41" s="18"/>
      <c r="LNR41" s="12"/>
      <c r="LNS41" s="19"/>
      <c r="LNT41" s="16"/>
      <c r="LNU41" s="18"/>
      <c r="LNV41" s="13"/>
      <c r="LNW41" s="12"/>
      <c r="LNX41" s="18"/>
      <c r="LNY41" s="12"/>
      <c r="LNZ41" s="19"/>
      <c r="LOA41" s="16"/>
      <c r="LOB41" s="18"/>
      <c r="LOC41" s="13"/>
      <c r="LOD41" s="12"/>
      <c r="LOE41" s="18"/>
      <c r="LOF41" s="12"/>
      <c r="LOG41" s="19"/>
      <c r="LOH41" s="16"/>
      <c r="LOI41" s="18"/>
      <c r="LOJ41" s="13"/>
      <c r="LOK41" s="12"/>
      <c r="LOL41" s="18"/>
      <c r="LOM41" s="12"/>
      <c r="LON41" s="19"/>
      <c r="LOO41" s="16"/>
      <c r="LOP41" s="18"/>
      <c r="LOQ41" s="13"/>
      <c r="LOR41" s="12"/>
      <c r="LOS41" s="18"/>
      <c r="LOT41" s="12"/>
      <c r="LOU41" s="19"/>
      <c r="LOV41" s="16"/>
      <c r="LOW41" s="18"/>
      <c r="LOX41" s="13"/>
      <c r="LOY41" s="12"/>
      <c r="LOZ41" s="18"/>
      <c r="LPA41" s="12"/>
      <c r="LPB41" s="19"/>
      <c r="LPC41" s="16"/>
      <c r="LPD41" s="18"/>
      <c r="LPE41" s="13"/>
      <c r="LPF41" s="12"/>
      <c r="LPG41" s="18"/>
      <c r="LPH41" s="12"/>
      <c r="LPI41" s="19"/>
      <c r="LPJ41" s="16"/>
      <c r="LPK41" s="18"/>
      <c r="LPL41" s="13"/>
      <c r="LPM41" s="12"/>
      <c r="LPN41" s="18"/>
      <c r="LPO41" s="12"/>
      <c r="LPP41" s="19"/>
      <c r="LPQ41" s="16"/>
      <c r="LPR41" s="18"/>
      <c r="LPS41" s="13"/>
      <c r="LPT41" s="12"/>
      <c r="LPU41" s="18"/>
      <c r="LPV41" s="12"/>
      <c r="LPW41" s="19"/>
      <c r="LPX41" s="16"/>
      <c r="LPY41" s="18"/>
      <c r="LPZ41" s="13"/>
      <c r="LQA41" s="12"/>
      <c r="LQB41" s="18"/>
      <c r="LQC41" s="12"/>
      <c r="LQD41" s="19"/>
      <c r="LQE41" s="16"/>
      <c r="LQF41" s="18"/>
      <c r="LQG41" s="13"/>
      <c r="LQH41" s="12"/>
      <c r="LQI41" s="18"/>
      <c r="LQJ41" s="12"/>
      <c r="LQK41" s="19"/>
      <c r="LQL41" s="16"/>
      <c r="LQM41" s="18"/>
      <c r="LQN41" s="13"/>
      <c r="LQO41" s="12"/>
      <c r="LQP41" s="18"/>
      <c r="LQQ41" s="12"/>
      <c r="LQR41" s="19"/>
      <c r="LQS41" s="16"/>
      <c r="LQT41" s="18"/>
      <c r="LQU41" s="13"/>
      <c r="LQV41" s="12"/>
      <c r="LQW41" s="18"/>
      <c r="LQX41" s="12"/>
      <c r="LQY41" s="19"/>
      <c r="LQZ41" s="16"/>
      <c r="LRA41" s="18"/>
      <c r="LRB41" s="13"/>
      <c r="LRC41" s="12"/>
      <c r="LRD41" s="18"/>
      <c r="LRE41" s="12"/>
      <c r="LRF41" s="19"/>
      <c r="LRG41" s="16"/>
      <c r="LRH41" s="18"/>
      <c r="LRI41" s="13"/>
      <c r="LRJ41" s="12"/>
      <c r="LRK41" s="18"/>
      <c r="LRL41" s="12"/>
      <c r="LRM41" s="19"/>
      <c r="LRN41" s="16"/>
      <c r="LRO41" s="18"/>
      <c r="LRP41" s="13"/>
      <c r="LRQ41" s="12"/>
      <c r="LRR41" s="18"/>
      <c r="LRS41" s="12"/>
      <c r="LRT41" s="19"/>
      <c r="LRU41" s="16"/>
      <c r="LRV41" s="18"/>
      <c r="LRW41" s="13"/>
      <c r="LRX41" s="12"/>
      <c r="LRY41" s="18"/>
      <c r="LRZ41" s="12"/>
      <c r="LSA41" s="19"/>
      <c r="LSB41" s="16"/>
      <c r="LSC41" s="18"/>
      <c r="LSD41" s="13"/>
      <c r="LSE41" s="12"/>
      <c r="LSF41" s="18"/>
      <c r="LSG41" s="12"/>
      <c r="LSH41" s="19"/>
      <c r="LSI41" s="16"/>
      <c r="LSJ41" s="18"/>
      <c r="LSK41" s="13"/>
      <c r="LSL41" s="12"/>
      <c r="LSM41" s="18"/>
      <c r="LSN41" s="12"/>
      <c r="LSO41" s="19"/>
      <c r="LSP41" s="16"/>
      <c r="LSQ41" s="18"/>
      <c r="LSR41" s="13"/>
      <c r="LSS41" s="12"/>
      <c r="LST41" s="18"/>
      <c r="LSU41" s="12"/>
      <c r="LSV41" s="19"/>
      <c r="LSW41" s="16"/>
      <c r="LSX41" s="18"/>
      <c r="LSY41" s="13"/>
      <c r="LSZ41" s="12"/>
      <c r="LTA41" s="18"/>
      <c r="LTB41" s="12"/>
      <c r="LTC41" s="19"/>
      <c r="LTD41" s="16"/>
      <c r="LTE41" s="18"/>
      <c r="LTF41" s="13"/>
      <c r="LTG41" s="12"/>
      <c r="LTH41" s="18"/>
      <c r="LTI41" s="12"/>
      <c r="LTJ41" s="19"/>
      <c r="LTK41" s="16"/>
      <c r="LTL41" s="18"/>
      <c r="LTM41" s="13"/>
      <c r="LTN41" s="12"/>
      <c r="LTO41" s="18"/>
      <c r="LTP41" s="12"/>
      <c r="LTQ41" s="19"/>
      <c r="LTR41" s="16"/>
      <c r="LTS41" s="18"/>
      <c r="LTT41" s="13"/>
      <c r="LTU41" s="12"/>
      <c r="LTV41" s="18"/>
      <c r="LTW41" s="12"/>
      <c r="LTX41" s="19"/>
      <c r="LTY41" s="16"/>
      <c r="LTZ41" s="18"/>
      <c r="LUA41" s="13"/>
      <c r="LUB41" s="12"/>
      <c r="LUC41" s="18"/>
      <c r="LUD41" s="12"/>
      <c r="LUE41" s="19"/>
      <c r="LUF41" s="16"/>
      <c r="LUG41" s="18"/>
      <c r="LUH41" s="13"/>
      <c r="LUI41" s="12"/>
      <c r="LUJ41" s="18"/>
      <c r="LUK41" s="12"/>
      <c r="LUL41" s="19"/>
      <c r="LUM41" s="16"/>
      <c r="LUN41" s="18"/>
      <c r="LUO41" s="13"/>
      <c r="LUP41" s="12"/>
      <c r="LUQ41" s="18"/>
      <c r="LUR41" s="12"/>
      <c r="LUS41" s="19"/>
      <c r="LUT41" s="16"/>
      <c r="LUU41" s="18"/>
      <c r="LUV41" s="13"/>
      <c r="LUW41" s="12"/>
      <c r="LUX41" s="18"/>
      <c r="LUY41" s="12"/>
      <c r="LUZ41" s="19"/>
      <c r="LVA41" s="16"/>
      <c r="LVB41" s="18"/>
      <c r="LVC41" s="13"/>
      <c r="LVD41" s="12"/>
      <c r="LVE41" s="18"/>
      <c r="LVF41" s="12"/>
      <c r="LVG41" s="19"/>
      <c r="LVH41" s="16"/>
      <c r="LVI41" s="18"/>
      <c r="LVJ41" s="13"/>
      <c r="LVK41" s="12"/>
      <c r="LVL41" s="18"/>
      <c r="LVM41" s="12"/>
      <c r="LVN41" s="19"/>
      <c r="LVO41" s="16"/>
      <c r="LVP41" s="18"/>
      <c r="LVQ41" s="13"/>
      <c r="LVR41" s="12"/>
      <c r="LVS41" s="18"/>
      <c r="LVT41" s="12"/>
      <c r="LVU41" s="19"/>
      <c r="LVV41" s="16"/>
      <c r="LVW41" s="18"/>
      <c r="LVX41" s="13"/>
      <c r="LVY41" s="12"/>
      <c r="LVZ41" s="18"/>
      <c r="LWA41" s="12"/>
      <c r="LWB41" s="19"/>
      <c r="LWC41" s="16"/>
      <c r="LWD41" s="18"/>
      <c r="LWE41" s="13"/>
      <c r="LWF41" s="12"/>
      <c r="LWG41" s="18"/>
      <c r="LWH41" s="12"/>
      <c r="LWI41" s="19"/>
      <c r="LWJ41" s="16"/>
      <c r="LWK41" s="18"/>
      <c r="LWL41" s="13"/>
      <c r="LWM41" s="12"/>
      <c r="LWN41" s="18"/>
      <c r="LWO41" s="12"/>
      <c r="LWP41" s="19"/>
      <c r="LWQ41" s="16"/>
      <c r="LWR41" s="18"/>
      <c r="LWS41" s="13"/>
      <c r="LWT41" s="12"/>
      <c r="LWU41" s="18"/>
      <c r="LWV41" s="12"/>
      <c r="LWW41" s="19"/>
      <c r="LWX41" s="16"/>
      <c r="LWY41" s="18"/>
      <c r="LWZ41" s="13"/>
      <c r="LXA41" s="12"/>
      <c r="LXB41" s="18"/>
      <c r="LXC41" s="12"/>
      <c r="LXD41" s="19"/>
      <c r="LXE41" s="16"/>
      <c r="LXF41" s="18"/>
      <c r="LXG41" s="13"/>
      <c r="LXH41" s="12"/>
      <c r="LXI41" s="18"/>
      <c r="LXJ41" s="12"/>
      <c r="LXK41" s="19"/>
      <c r="LXL41" s="16"/>
      <c r="LXM41" s="18"/>
      <c r="LXN41" s="13"/>
      <c r="LXO41" s="12"/>
      <c r="LXP41" s="18"/>
      <c r="LXQ41" s="12"/>
      <c r="LXR41" s="19"/>
      <c r="LXS41" s="16"/>
      <c r="LXT41" s="18"/>
      <c r="LXU41" s="13"/>
      <c r="LXV41" s="12"/>
      <c r="LXW41" s="18"/>
      <c r="LXX41" s="12"/>
      <c r="LXY41" s="19"/>
      <c r="LXZ41" s="16"/>
      <c r="LYA41" s="18"/>
      <c r="LYB41" s="13"/>
      <c r="LYC41" s="12"/>
      <c r="LYD41" s="18"/>
      <c r="LYE41" s="12"/>
      <c r="LYF41" s="19"/>
      <c r="LYG41" s="16"/>
      <c r="LYH41" s="18"/>
      <c r="LYI41" s="13"/>
      <c r="LYJ41" s="12"/>
      <c r="LYK41" s="18"/>
      <c r="LYL41" s="12"/>
      <c r="LYM41" s="19"/>
      <c r="LYN41" s="16"/>
      <c r="LYO41" s="18"/>
      <c r="LYP41" s="13"/>
      <c r="LYQ41" s="12"/>
      <c r="LYR41" s="18"/>
      <c r="LYS41" s="12"/>
      <c r="LYT41" s="19"/>
      <c r="LYU41" s="16"/>
      <c r="LYV41" s="18"/>
      <c r="LYW41" s="13"/>
      <c r="LYX41" s="12"/>
      <c r="LYY41" s="18"/>
      <c r="LYZ41" s="12"/>
      <c r="LZA41" s="19"/>
      <c r="LZB41" s="16"/>
      <c r="LZC41" s="18"/>
      <c r="LZD41" s="13"/>
      <c r="LZE41" s="12"/>
      <c r="LZF41" s="18"/>
      <c r="LZG41" s="12"/>
      <c r="LZH41" s="19"/>
      <c r="LZI41" s="16"/>
      <c r="LZJ41" s="18"/>
      <c r="LZK41" s="13"/>
      <c r="LZL41" s="12"/>
      <c r="LZM41" s="18"/>
      <c r="LZN41" s="12"/>
      <c r="LZO41" s="19"/>
      <c r="LZP41" s="16"/>
      <c r="LZQ41" s="18"/>
      <c r="LZR41" s="13"/>
      <c r="LZS41" s="12"/>
      <c r="LZT41" s="18"/>
      <c r="LZU41" s="12"/>
      <c r="LZV41" s="19"/>
      <c r="LZW41" s="16"/>
      <c r="LZX41" s="18"/>
      <c r="LZY41" s="13"/>
      <c r="LZZ41" s="12"/>
      <c r="MAA41" s="18"/>
      <c r="MAB41" s="12"/>
      <c r="MAC41" s="19"/>
      <c r="MAD41" s="16"/>
      <c r="MAE41" s="18"/>
      <c r="MAF41" s="13"/>
      <c r="MAG41" s="12"/>
      <c r="MAH41" s="18"/>
      <c r="MAI41" s="12"/>
      <c r="MAJ41" s="19"/>
      <c r="MAK41" s="16"/>
      <c r="MAL41" s="18"/>
      <c r="MAM41" s="13"/>
      <c r="MAN41" s="12"/>
      <c r="MAO41" s="18"/>
      <c r="MAP41" s="12"/>
      <c r="MAQ41" s="19"/>
      <c r="MAR41" s="16"/>
      <c r="MAS41" s="18"/>
      <c r="MAT41" s="13"/>
      <c r="MAU41" s="12"/>
      <c r="MAV41" s="18"/>
      <c r="MAW41" s="12"/>
      <c r="MAX41" s="19"/>
      <c r="MAY41" s="16"/>
      <c r="MAZ41" s="18"/>
      <c r="MBA41" s="13"/>
      <c r="MBB41" s="12"/>
      <c r="MBC41" s="18"/>
      <c r="MBD41" s="12"/>
      <c r="MBE41" s="19"/>
      <c r="MBF41" s="16"/>
      <c r="MBG41" s="18"/>
      <c r="MBH41" s="13"/>
      <c r="MBI41" s="12"/>
      <c r="MBJ41" s="18"/>
      <c r="MBK41" s="12"/>
      <c r="MBL41" s="19"/>
      <c r="MBM41" s="16"/>
      <c r="MBN41" s="18"/>
      <c r="MBO41" s="13"/>
      <c r="MBP41" s="12"/>
      <c r="MBQ41" s="18"/>
      <c r="MBR41" s="12"/>
      <c r="MBS41" s="19"/>
      <c r="MBT41" s="16"/>
      <c r="MBU41" s="18"/>
      <c r="MBV41" s="13"/>
      <c r="MBW41" s="12"/>
      <c r="MBX41" s="18"/>
      <c r="MBY41" s="12"/>
      <c r="MBZ41" s="19"/>
      <c r="MCA41" s="16"/>
      <c r="MCB41" s="18"/>
      <c r="MCC41" s="13"/>
      <c r="MCD41" s="12"/>
      <c r="MCE41" s="18"/>
      <c r="MCF41" s="12"/>
      <c r="MCG41" s="19"/>
      <c r="MCH41" s="16"/>
      <c r="MCI41" s="18"/>
      <c r="MCJ41" s="13"/>
      <c r="MCK41" s="12"/>
      <c r="MCL41" s="18"/>
      <c r="MCM41" s="12"/>
      <c r="MCN41" s="19"/>
      <c r="MCO41" s="16"/>
      <c r="MCP41" s="18"/>
      <c r="MCQ41" s="13"/>
      <c r="MCR41" s="12"/>
      <c r="MCS41" s="18"/>
      <c r="MCT41" s="12"/>
      <c r="MCU41" s="19"/>
      <c r="MCV41" s="16"/>
      <c r="MCW41" s="18"/>
      <c r="MCX41" s="13"/>
      <c r="MCY41" s="12"/>
      <c r="MCZ41" s="18"/>
      <c r="MDA41" s="12"/>
      <c r="MDB41" s="19"/>
      <c r="MDC41" s="16"/>
      <c r="MDD41" s="18"/>
      <c r="MDE41" s="13"/>
      <c r="MDF41" s="12"/>
      <c r="MDG41" s="18"/>
      <c r="MDH41" s="12"/>
      <c r="MDI41" s="19"/>
      <c r="MDJ41" s="16"/>
      <c r="MDK41" s="18"/>
      <c r="MDL41" s="13"/>
      <c r="MDM41" s="12"/>
      <c r="MDN41" s="18"/>
      <c r="MDO41" s="12"/>
      <c r="MDP41" s="19"/>
      <c r="MDQ41" s="16"/>
      <c r="MDR41" s="18"/>
      <c r="MDS41" s="13"/>
      <c r="MDT41" s="12"/>
      <c r="MDU41" s="18"/>
      <c r="MDV41" s="12"/>
      <c r="MDW41" s="19"/>
      <c r="MDX41" s="16"/>
      <c r="MDY41" s="18"/>
      <c r="MDZ41" s="13"/>
      <c r="MEA41" s="12"/>
      <c r="MEB41" s="18"/>
      <c r="MEC41" s="12"/>
      <c r="MED41" s="19"/>
      <c r="MEE41" s="16"/>
      <c r="MEF41" s="18"/>
      <c r="MEG41" s="13"/>
      <c r="MEH41" s="12"/>
      <c r="MEI41" s="18"/>
      <c r="MEJ41" s="12"/>
      <c r="MEK41" s="19"/>
      <c r="MEL41" s="16"/>
      <c r="MEM41" s="18"/>
      <c r="MEN41" s="13"/>
      <c r="MEO41" s="12"/>
      <c r="MEP41" s="18"/>
      <c r="MEQ41" s="12"/>
      <c r="MER41" s="19"/>
      <c r="MES41" s="16"/>
      <c r="MET41" s="18"/>
      <c r="MEU41" s="13"/>
      <c r="MEV41" s="12"/>
      <c r="MEW41" s="18"/>
      <c r="MEX41" s="12"/>
      <c r="MEY41" s="19"/>
      <c r="MEZ41" s="16"/>
      <c r="MFA41" s="18"/>
      <c r="MFB41" s="13"/>
      <c r="MFC41" s="12"/>
      <c r="MFD41" s="18"/>
      <c r="MFE41" s="12"/>
      <c r="MFF41" s="19"/>
      <c r="MFG41" s="16"/>
      <c r="MFH41" s="18"/>
      <c r="MFI41" s="13"/>
      <c r="MFJ41" s="12"/>
      <c r="MFK41" s="18"/>
      <c r="MFL41" s="12"/>
      <c r="MFM41" s="19"/>
      <c r="MFN41" s="16"/>
      <c r="MFO41" s="18"/>
      <c r="MFP41" s="13"/>
      <c r="MFQ41" s="12"/>
      <c r="MFR41" s="18"/>
      <c r="MFS41" s="12"/>
      <c r="MFT41" s="19"/>
      <c r="MFU41" s="16"/>
      <c r="MFV41" s="18"/>
      <c r="MFW41" s="13"/>
      <c r="MFX41" s="12"/>
      <c r="MFY41" s="18"/>
      <c r="MFZ41" s="12"/>
      <c r="MGA41" s="19"/>
      <c r="MGB41" s="16"/>
      <c r="MGC41" s="18"/>
      <c r="MGD41" s="13"/>
      <c r="MGE41" s="12"/>
      <c r="MGF41" s="18"/>
      <c r="MGG41" s="12"/>
      <c r="MGH41" s="19"/>
      <c r="MGI41" s="16"/>
      <c r="MGJ41" s="18"/>
      <c r="MGK41" s="13"/>
      <c r="MGL41" s="12"/>
      <c r="MGM41" s="18"/>
      <c r="MGN41" s="12"/>
      <c r="MGO41" s="19"/>
      <c r="MGP41" s="16"/>
      <c r="MGQ41" s="18"/>
      <c r="MGR41" s="13"/>
      <c r="MGS41" s="12"/>
      <c r="MGT41" s="18"/>
      <c r="MGU41" s="12"/>
      <c r="MGV41" s="19"/>
      <c r="MGW41" s="16"/>
      <c r="MGX41" s="18"/>
      <c r="MGY41" s="13"/>
      <c r="MGZ41" s="12"/>
      <c r="MHA41" s="18"/>
      <c r="MHB41" s="12"/>
      <c r="MHC41" s="19"/>
      <c r="MHD41" s="16"/>
      <c r="MHE41" s="18"/>
      <c r="MHF41" s="13"/>
      <c r="MHG41" s="12"/>
      <c r="MHH41" s="18"/>
      <c r="MHI41" s="12"/>
      <c r="MHJ41" s="19"/>
      <c r="MHK41" s="16"/>
      <c r="MHL41" s="18"/>
      <c r="MHM41" s="13"/>
      <c r="MHN41" s="12"/>
      <c r="MHO41" s="18"/>
      <c r="MHP41" s="12"/>
      <c r="MHQ41" s="19"/>
      <c r="MHR41" s="16"/>
      <c r="MHS41" s="18"/>
      <c r="MHT41" s="13"/>
      <c r="MHU41" s="12"/>
      <c r="MHV41" s="18"/>
      <c r="MHW41" s="12"/>
      <c r="MHX41" s="19"/>
      <c r="MHY41" s="16"/>
      <c r="MHZ41" s="18"/>
      <c r="MIA41" s="13"/>
      <c r="MIB41" s="12"/>
      <c r="MIC41" s="18"/>
      <c r="MID41" s="12"/>
      <c r="MIE41" s="19"/>
      <c r="MIF41" s="16"/>
      <c r="MIG41" s="18"/>
      <c r="MIH41" s="13"/>
      <c r="MII41" s="12"/>
      <c r="MIJ41" s="18"/>
      <c r="MIK41" s="12"/>
      <c r="MIL41" s="19"/>
      <c r="MIM41" s="16"/>
      <c r="MIN41" s="18"/>
      <c r="MIO41" s="13"/>
      <c r="MIP41" s="12"/>
      <c r="MIQ41" s="18"/>
      <c r="MIR41" s="12"/>
      <c r="MIS41" s="19"/>
      <c r="MIT41" s="16"/>
      <c r="MIU41" s="18"/>
      <c r="MIV41" s="13"/>
      <c r="MIW41" s="12"/>
      <c r="MIX41" s="18"/>
      <c r="MIY41" s="12"/>
      <c r="MIZ41" s="19"/>
      <c r="MJA41" s="16"/>
      <c r="MJB41" s="18"/>
      <c r="MJC41" s="13"/>
      <c r="MJD41" s="12"/>
      <c r="MJE41" s="18"/>
      <c r="MJF41" s="12"/>
      <c r="MJG41" s="19"/>
      <c r="MJH41" s="16"/>
      <c r="MJI41" s="18"/>
      <c r="MJJ41" s="13"/>
      <c r="MJK41" s="12"/>
      <c r="MJL41" s="18"/>
      <c r="MJM41" s="12"/>
      <c r="MJN41" s="19"/>
      <c r="MJO41" s="16"/>
      <c r="MJP41" s="18"/>
      <c r="MJQ41" s="13"/>
      <c r="MJR41" s="12"/>
      <c r="MJS41" s="18"/>
      <c r="MJT41" s="12"/>
      <c r="MJU41" s="19"/>
      <c r="MJV41" s="16"/>
      <c r="MJW41" s="18"/>
      <c r="MJX41" s="13"/>
      <c r="MJY41" s="12"/>
      <c r="MJZ41" s="18"/>
      <c r="MKA41" s="12"/>
      <c r="MKB41" s="19"/>
      <c r="MKC41" s="16"/>
      <c r="MKD41" s="18"/>
      <c r="MKE41" s="13"/>
      <c r="MKF41" s="12"/>
      <c r="MKG41" s="18"/>
      <c r="MKH41" s="12"/>
      <c r="MKI41" s="19"/>
      <c r="MKJ41" s="16"/>
      <c r="MKK41" s="18"/>
      <c r="MKL41" s="13"/>
      <c r="MKM41" s="12"/>
      <c r="MKN41" s="18"/>
      <c r="MKO41" s="12"/>
      <c r="MKP41" s="19"/>
      <c r="MKQ41" s="16"/>
      <c r="MKR41" s="18"/>
      <c r="MKS41" s="13"/>
      <c r="MKT41" s="12"/>
      <c r="MKU41" s="18"/>
      <c r="MKV41" s="12"/>
      <c r="MKW41" s="19"/>
      <c r="MKX41" s="16"/>
      <c r="MKY41" s="18"/>
      <c r="MKZ41" s="13"/>
      <c r="MLA41" s="12"/>
      <c r="MLB41" s="18"/>
      <c r="MLC41" s="12"/>
      <c r="MLD41" s="19"/>
      <c r="MLE41" s="16"/>
      <c r="MLF41" s="18"/>
      <c r="MLG41" s="13"/>
      <c r="MLH41" s="12"/>
      <c r="MLI41" s="18"/>
      <c r="MLJ41" s="12"/>
      <c r="MLK41" s="19"/>
      <c r="MLL41" s="16"/>
      <c r="MLM41" s="18"/>
      <c r="MLN41" s="13"/>
      <c r="MLO41" s="12"/>
      <c r="MLP41" s="18"/>
      <c r="MLQ41" s="12"/>
      <c r="MLR41" s="19"/>
      <c r="MLS41" s="16"/>
      <c r="MLT41" s="18"/>
      <c r="MLU41" s="13"/>
      <c r="MLV41" s="12"/>
      <c r="MLW41" s="18"/>
      <c r="MLX41" s="12"/>
      <c r="MLY41" s="19"/>
      <c r="MLZ41" s="16"/>
      <c r="MMA41" s="18"/>
      <c r="MMB41" s="13"/>
      <c r="MMC41" s="12"/>
      <c r="MMD41" s="18"/>
      <c r="MME41" s="12"/>
      <c r="MMF41" s="19"/>
      <c r="MMG41" s="16"/>
      <c r="MMH41" s="18"/>
      <c r="MMI41" s="13"/>
      <c r="MMJ41" s="12"/>
      <c r="MMK41" s="18"/>
      <c r="MML41" s="12"/>
      <c r="MMM41" s="19"/>
      <c r="MMN41" s="16"/>
      <c r="MMO41" s="18"/>
      <c r="MMP41" s="13"/>
      <c r="MMQ41" s="12"/>
      <c r="MMR41" s="18"/>
      <c r="MMS41" s="12"/>
      <c r="MMT41" s="19"/>
      <c r="MMU41" s="16"/>
      <c r="MMV41" s="18"/>
      <c r="MMW41" s="13"/>
      <c r="MMX41" s="12"/>
      <c r="MMY41" s="18"/>
      <c r="MMZ41" s="12"/>
      <c r="MNA41" s="19"/>
      <c r="MNB41" s="16"/>
      <c r="MNC41" s="18"/>
      <c r="MND41" s="13"/>
      <c r="MNE41" s="12"/>
      <c r="MNF41" s="18"/>
      <c r="MNG41" s="12"/>
      <c r="MNH41" s="19"/>
      <c r="MNI41" s="16"/>
      <c r="MNJ41" s="18"/>
      <c r="MNK41" s="13"/>
      <c r="MNL41" s="12"/>
      <c r="MNM41" s="18"/>
      <c r="MNN41" s="12"/>
      <c r="MNO41" s="19"/>
      <c r="MNP41" s="16"/>
      <c r="MNQ41" s="18"/>
      <c r="MNR41" s="13"/>
      <c r="MNS41" s="12"/>
      <c r="MNT41" s="18"/>
      <c r="MNU41" s="12"/>
      <c r="MNV41" s="19"/>
      <c r="MNW41" s="16"/>
      <c r="MNX41" s="18"/>
      <c r="MNY41" s="13"/>
      <c r="MNZ41" s="12"/>
      <c r="MOA41" s="18"/>
      <c r="MOB41" s="12"/>
      <c r="MOC41" s="19"/>
      <c r="MOD41" s="16"/>
      <c r="MOE41" s="18"/>
      <c r="MOF41" s="13"/>
      <c r="MOG41" s="12"/>
      <c r="MOH41" s="18"/>
      <c r="MOI41" s="12"/>
      <c r="MOJ41" s="19"/>
      <c r="MOK41" s="16"/>
      <c r="MOL41" s="18"/>
      <c r="MOM41" s="13"/>
      <c r="MON41" s="12"/>
      <c r="MOO41" s="18"/>
      <c r="MOP41" s="12"/>
      <c r="MOQ41" s="19"/>
      <c r="MOR41" s="16"/>
      <c r="MOS41" s="18"/>
      <c r="MOT41" s="13"/>
      <c r="MOU41" s="12"/>
      <c r="MOV41" s="18"/>
      <c r="MOW41" s="12"/>
      <c r="MOX41" s="19"/>
      <c r="MOY41" s="16"/>
      <c r="MOZ41" s="18"/>
      <c r="MPA41" s="13"/>
      <c r="MPB41" s="12"/>
      <c r="MPC41" s="18"/>
      <c r="MPD41" s="12"/>
      <c r="MPE41" s="19"/>
      <c r="MPF41" s="16"/>
      <c r="MPG41" s="18"/>
      <c r="MPH41" s="13"/>
      <c r="MPI41" s="12"/>
      <c r="MPJ41" s="18"/>
      <c r="MPK41" s="12"/>
      <c r="MPL41" s="19"/>
      <c r="MPM41" s="16"/>
      <c r="MPN41" s="18"/>
      <c r="MPO41" s="13"/>
      <c r="MPP41" s="12"/>
      <c r="MPQ41" s="18"/>
      <c r="MPR41" s="12"/>
      <c r="MPS41" s="19"/>
      <c r="MPT41" s="16"/>
      <c r="MPU41" s="18"/>
      <c r="MPV41" s="13"/>
      <c r="MPW41" s="12"/>
      <c r="MPX41" s="18"/>
      <c r="MPY41" s="12"/>
      <c r="MPZ41" s="19"/>
      <c r="MQA41" s="16"/>
      <c r="MQB41" s="18"/>
      <c r="MQC41" s="13"/>
      <c r="MQD41" s="12"/>
      <c r="MQE41" s="18"/>
      <c r="MQF41" s="12"/>
      <c r="MQG41" s="19"/>
      <c r="MQH41" s="16"/>
      <c r="MQI41" s="18"/>
      <c r="MQJ41" s="13"/>
      <c r="MQK41" s="12"/>
      <c r="MQL41" s="18"/>
      <c r="MQM41" s="12"/>
      <c r="MQN41" s="19"/>
      <c r="MQO41" s="16"/>
      <c r="MQP41" s="18"/>
      <c r="MQQ41" s="13"/>
      <c r="MQR41" s="12"/>
      <c r="MQS41" s="18"/>
      <c r="MQT41" s="12"/>
      <c r="MQU41" s="19"/>
      <c r="MQV41" s="16"/>
      <c r="MQW41" s="18"/>
      <c r="MQX41" s="13"/>
      <c r="MQY41" s="12"/>
      <c r="MQZ41" s="18"/>
      <c r="MRA41" s="12"/>
      <c r="MRB41" s="19"/>
      <c r="MRC41" s="16"/>
      <c r="MRD41" s="18"/>
      <c r="MRE41" s="13"/>
      <c r="MRF41" s="12"/>
      <c r="MRG41" s="18"/>
      <c r="MRH41" s="12"/>
      <c r="MRI41" s="19"/>
      <c r="MRJ41" s="16"/>
      <c r="MRK41" s="18"/>
      <c r="MRL41" s="13"/>
      <c r="MRM41" s="12"/>
      <c r="MRN41" s="18"/>
      <c r="MRO41" s="12"/>
      <c r="MRP41" s="19"/>
      <c r="MRQ41" s="16"/>
      <c r="MRR41" s="18"/>
      <c r="MRS41" s="13"/>
      <c r="MRT41" s="12"/>
      <c r="MRU41" s="18"/>
      <c r="MRV41" s="12"/>
      <c r="MRW41" s="19"/>
      <c r="MRX41" s="16"/>
      <c r="MRY41" s="18"/>
      <c r="MRZ41" s="13"/>
      <c r="MSA41" s="12"/>
      <c r="MSB41" s="18"/>
      <c r="MSC41" s="12"/>
      <c r="MSD41" s="19"/>
      <c r="MSE41" s="16"/>
      <c r="MSF41" s="18"/>
      <c r="MSG41" s="13"/>
      <c r="MSH41" s="12"/>
      <c r="MSI41" s="18"/>
      <c r="MSJ41" s="12"/>
      <c r="MSK41" s="19"/>
      <c r="MSL41" s="16"/>
      <c r="MSM41" s="18"/>
      <c r="MSN41" s="13"/>
      <c r="MSO41" s="12"/>
      <c r="MSP41" s="18"/>
      <c r="MSQ41" s="12"/>
      <c r="MSR41" s="19"/>
      <c r="MSS41" s="16"/>
      <c r="MST41" s="18"/>
      <c r="MSU41" s="13"/>
      <c r="MSV41" s="12"/>
      <c r="MSW41" s="18"/>
      <c r="MSX41" s="12"/>
      <c r="MSY41" s="19"/>
      <c r="MSZ41" s="16"/>
      <c r="MTA41" s="18"/>
      <c r="MTB41" s="13"/>
      <c r="MTC41" s="12"/>
      <c r="MTD41" s="18"/>
      <c r="MTE41" s="12"/>
      <c r="MTF41" s="19"/>
      <c r="MTG41" s="16"/>
      <c r="MTH41" s="18"/>
      <c r="MTI41" s="13"/>
      <c r="MTJ41" s="12"/>
      <c r="MTK41" s="18"/>
      <c r="MTL41" s="12"/>
      <c r="MTM41" s="19"/>
      <c r="MTN41" s="16"/>
      <c r="MTO41" s="18"/>
      <c r="MTP41" s="13"/>
      <c r="MTQ41" s="12"/>
      <c r="MTR41" s="18"/>
      <c r="MTS41" s="12"/>
      <c r="MTT41" s="19"/>
      <c r="MTU41" s="16"/>
      <c r="MTV41" s="18"/>
      <c r="MTW41" s="13"/>
      <c r="MTX41" s="12"/>
      <c r="MTY41" s="18"/>
      <c r="MTZ41" s="12"/>
      <c r="MUA41" s="19"/>
      <c r="MUB41" s="16"/>
      <c r="MUC41" s="18"/>
      <c r="MUD41" s="13"/>
      <c r="MUE41" s="12"/>
      <c r="MUF41" s="18"/>
      <c r="MUG41" s="12"/>
      <c r="MUH41" s="19"/>
      <c r="MUI41" s="16"/>
      <c r="MUJ41" s="18"/>
      <c r="MUK41" s="13"/>
      <c r="MUL41" s="12"/>
      <c r="MUM41" s="18"/>
      <c r="MUN41" s="12"/>
      <c r="MUO41" s="19"/>
      <c r="MUP41" s="16"/>
      <c r="MUQ41" s="18"/>
      <c r="MUR41" s="13"/>
      <c r="MUS41" s="12"/>
      <c r="MUT41" s="18"/>
      <c r="MUU41" s="12"/>
      <c r="MUV41" s="19"/>
      <c r="MUW41" s="16"/>
      <c r="MUX41" s="18"/>
      <c r="MUY41" s="13"/>
      <c r="MUZ41" s="12"/>
      <c r="MVA41" s="18"/>
      <c r="MVB41" s="12"/>
      <c r="MVC41" s="19"/>
      <c r="MVD41" s="16"/>
      <c r="MVE41" s="18"/>
      <c r="MVF41" s="13"/>
      <c r="MVG41" s="12"/>
      <c r="MVH41" s="18"/>
      <c r="MVI41" s="12"/>
      <c r="MVJ41" s="19"/>
      <c r="MVK41" s="16"/>
      <c r="MVL41" s="18"/>
      <c r="MVM41" s="13"/>
      <c r="MVN41" s="12"/>
      <c r="MVO41" s="18"/>
      <c r="MVP41" s="12"/>
      <c r="MVQ41" s="19"/>
      <c r="MVR41" s="16"/>
      <c r="MVS41" s="18"/>
      <c r="MVT41" s="13"/>
      <c r="MVU41" s="12"/>
      <c r="MVV41" s="18"/>
      <c r="MVW41" s="12"/>
      <c r="MVX41" s="19"/>
      <c r="MVY41" s="16"/>
      <c r="MVZ41" s="18"/>
      <c r="MWA41" s="13"/>
      <c r="MWB41" s="12"/>
      <c r="MWC41" s="18"/>
      <c r="MWD41" s="12"/>
      <c r="MWE41" s="19"/>
      <c r="MWF41" s="16"/>
      <c r="MWG41" s="18"/>
      <c r="MWH41" s="13"/>
      <c r="MWI41" s="12"/>
      <c r="MWJ41" s="18"/>
      <c r="MWK41" s="12"/>
      <c r="MWL41" s="19"/>
      <c r="MWM41" s="16"/>
      <c r="MWN41" s="18"/>
      <c r="MWO41" s="13"/>
      <c r="MWP41" s="12"/>
      <c r="MWQ41" s="18"/>
      <c r="MWR41" s="12"/>
      <c r="MWS41" s="19"/>
      <c r="MWT41" s="16"/>
      <c r="MWU41" s="18"/>
      <c r="MWV41" s="13"/>
      <c r="MWW41" s="12"/>
      <c r="MWX41" s="18"/>
      <c r="MWY41" s="12"/>
      <c r="MWZ41" s="19"/>
      <c r="MXA41" s="16"/>
      <c r="MXB41" s="18"/>
      <c r="MXC41" s="13"/>
      <c r="MXD41" s="12"/>
      <c r="MXE41" s="18"/>
      <c r="MXF41" s="12"/>
      <c r="MXG41" s="19"/>
      <c r="MXH41" s="16"/>
      <c r="MXI41" s="18"/>
      <c r="MXJ41" s="13"/>
      <c r="MXK41" s="12"/>
      <c r="MXL41" s="18"/>
      <c r="MXM41" s="12"/>
      <c r="MXN41" s="19"/>
      <c r="MXO41" s="16"/>
      <c r="MXP41" s="18"/>
      <c r="MXQ41" s="13"/>
      <c r="MXR41" s="12"/>
      <c r="MXS41" s="18"/>
      <c r="MXT41" s="12"/>
      <c r="MXU41" s="19"/>
      <c r="MXV41" s="16"/>
      <c r="MXW41" s="18"/>
      <c r="MXX41" s="13"/>
      <c r="MXY41" s="12"/>
      <c r="MXZ41" s="18"/>
      <c r="MYA41" s="12"/>
      <c r="MYB41" s="19"/>
      <c r="MYC41" s="16"/>
      <c r="MYD41" s="18"/>
      <c r="MYE41" s="13"/>
      <c r="MYF41" s="12"/>
      <c r="MYG41" s="18"/>
      <c r="MYH41" s="12"/>
      <c r="MYI41" s="19"/>
      <c r="MYJ41" s="16"/>
      <c r="MYK41" s="18"/>
      <c r="MYL41" s="13"/>
      <c r="MYM41" s="12"/>
      <c r="MYN41" s="18"/>
      <c r="MYO41" s="12"/>
      <c r="MYP41" s="19"/>
      <c r="MYQ41" s="16"/>
      <c r="MYR41" s="18"/>
      <c r="MYS41" s="13"/>
      <c r="MYT41" s="12"/>
      <c r="MYU41" s="18"/>
      <c r="MYV41" s="12"/>
      <c r="MYW41" s="19"/>
      <c r="MYX41" s="16"/>
      <c r="MYY41" s="18"/>
      <c r="MYZ41" s="13"/>
      <c r="MZA41" s="12"/>
      <c r="MZB41" s="18"/>
      <c r="MZC41" s="12"/>
      <c r="MZD41" s="19"/>
      <c r="MZE41" s="16"/>
      <c r="MZF41" s="18"/>
      <c r="MZG41" s="13"/>
      <c r="MZH41" s="12"/>
      <c r="MZI41" s="18"/>
      <c r="MZJ41" s="12"/>
      <c r="MZK41" s="19"/>
      <c r="MZL41" s="16"/>
      <c r="MZM41" s="18"/>
      <c r="MZN41" s="13"/>
      <c r="MZO41" s="12"/>
      <c r="MZP41" s="18"/>
      <c r="MZQ41" s="12"/>
      <c r="MZR41" s="19"/>
      <c r="MZS41" s="16"/>
      <c r="MZT41" s="18"/>
      <c r="MZU41" s="13"/>
      <c r="MZV41" s="12"/>
      <c r="MZW41" s="18"/>
      <c r="MZX41" s="12"/>
      <c r="MZY41" s="19"/>
      <c r="MZZ41" s="16"/>
      <c r="NAA41" s="18"/>
      <c r="NAB41" s="13"/>
      <c r="NAC41" s="12"/>
      <c r="NAD41" s="18"/>
      <c r="NAE41" s="12"/>
      <c r="NAF41" s="19"/>
      <c r="NAG41" s="16"/>
      <c r="NAH41" s="18"/>
      <c r="NAI41" s="13"/>
      <c r="NAJ41" s="12"/>
      <c r="NAK41" s="18"/>
      <c r="NAL41" s="12"/>
      <c r="NAM41" s="19"/>
      <c r="NAN41" s="16"/>
      <c r="NAO41" s="18"/>
      <c r="NAP41" s="13"/>
      <c r="NAQ41" s="12"/>
      <c r="NAR41" s="18"/>
      <c r="NAS41" s="12"/>
      <c r="NAT41" s="19"/>
      <c r="NAU41" s="16"/>
      <c r="NAV41" s="18"/>
      <c r="NAW41" s="13"/>
      <c r="NAX41" s="12"/>
      <c r="NAY41" s="18"/>
      <c r="NAZ41" s="12"/>
      <c r="NBA41" s="19"/>
      <c r="NBB41" s="16"/>
      <c r="NBC41" s="18"/>
      <c r="NBD41" s="13"/>
      <c r="NBE41" s="12"/>
      <c r="NBF41" s="18"/>
      <c r="NBG41" s="12"/>
      <c r="NBH41" s="19"/>
      <c r="NBI41" s="16"/>
      <c r="NBJ41" s="18"/>
      <c r="NBK41" s="13"/>
      <c r="NBL41" s="12"/>
      <c r="NBM41" s="18"/>
      <c r="NBN41" s="12"/>
      <c r="NBO41" s="19"/>
      <c r="NBP41" s="16"/>
      <c r="NBQ41" s="18"/>
      <c r="NBR41" s="13"/>
      <c r="NBS41" s="12"/>
      <c r="NBT41" s="18"/>
      <c r="NBU41" s="12"/>
      <c r="NBV41" s="19"/>
      <c r="NBW41" s="16"/>
      <c r="NBX41" s="18"/>
      <c r="NBY41" s="13"/>
      <c r="NBZ41" s="12"/>
      <c r="NCA41" s="18"/>
      <c r="NCB41" s="12"/>
      <c r="NCC41" s="19"/>
      <c r="NCD41" s="16"/>
      <c r="NCE41" s="18"/>
      <c r="NCF41" s="13"/>
      <c r="NCG41" s="12"/>
      <c r="NCH41" s="18"/>
      <c r="NCI41" s="12"/>
      <c r="NCJ41" s="19"/>
      <c r="NCK41" s="16"/>
      <c r="NCL41" s="18"/>
      <c r="NCM41" s="13"/>
      <c r="NCN41" s="12"/>
      <c r="NCO41" s="18"/>
      <c r="NCP41" s="12"/>
      <c r="NCQ41" s="19"/>
      <c r="NCR41" s="16"/>
      <c r="NCS41" s="18"/>
      <c r="NCT41" s="13"/>
      <c r="NCU41" s="12"/>
      <c r="NCV41" s="18"/>
      <c r="NCW41" s="12"/>
      <c r="NCX41" s="19"/>
      <c r="NCY41" s="16"/>
      <c r="NCZ41" s="18"/>
      <c r="NDA41" s="13"/>
      <c r="NDB41" s="12"/>
      <c r="NDC41" s="18"/>
      <c r="NDD41" s="12"/>
      <c r="NDE41" s="19"/>
      <c r="NDF41" s="16"/>
      <c r="NDG41" s="18"/>
      <c r="NDH41" s="13"/>
      <c r="NDI41" s="12"/>
      <c r="NDJ41" s="18"/>
      <c r="NDK41" s="12"/>
      <c r="NDL41" s="19"/>
      <c r="NDM41" s="16"/>
      <c r="NDN41" s="18"/>
      <c r="NDO41" s="13"/>
      <c r="NDP41" s="12"/>
      <c r="NDQ41" s="18"/>
      <c r="NDR41" s="12"/>
      <c r="NDS41" s="19"/>
      <c r="NDT41" s="16"/>
      <c r="NDU41" s="18"/>
      <c r="NDV41" s="13"/>
      <c r="NDW41" s="12"/>
      <c r="NDX41" s="18"/>
      <c r="NDY41" s="12"/>
      <c r="NDZ41" s="19"/>
      <c r="NEA41" s="16"/>
      <c r="NEB41" s="18"/>
      <c r="NEC41" s="13"/>
      <c r="NED41" s="12"/>
      <c r="NEE41" s="18"/>
      <c r="NEF41" s="12"/>
      <c r="NEG41" s="19"/>
      <c r="NEH41" s="16"/>
      <c r="NEI41" s="18"/>
      <c r="NEJ41" s="13"/>
      <c r="NEK41" s="12"/>
      <c r="NEL41" s="18"/>
      <c r="NEM41" s="12"/>
      <c r="NEN41" s="19"/>
      <c r="NEO41" s="16"/>
      <c r="NEP41" s="18"/>
      <c r="NEQ41" s="13"/>
      <c r="NER41" s="12"/>
      <c r="NES41" s="18"/>
      <c r="NET41" s="12"/>
      <c r="NEU41" s="19"/>
      <c r="NEV41" s="16"/>
      <c r="NEW41" s="18"/>
      <c r="NEX41" s="13"/>
      <c r="NEY41" s="12"/>
      <c r="NEZ41" s="18"/>
      <c r="NFA41" s="12"/>
      <c r="NFB41" s="19"/>
      <c r="NFC41" s="16"/>
      <c r="NFD41" s="18"/>
      <c r="NFE41" s="13"/>
      <c r="NFF41" s="12"/>
      <c r="NFG41" s="18"/>
      <c r="NFH41" s="12"/>
      <c r="NFI41" s="19"/>
      <c r="NFJ41" s="16"/>
      <c r="NFK41" s="18"/>
      <c r="NFL41" s="13"/>
      <c r="NFM41" s="12"/>
      <c r="NFN41" s="18"/>
      <c r="NFO41" s="12"/>
      <c r="NFP41" s="19"/>
      <c r="NFQ41" s="16"/>
      <c r="NFR41" s="18"/>
      <c r="NFS41" s="13"/>
      <c r="NFT41" s="12"/>
      <c r="NFU41" s="18"/>
      <c r="NFV41" s="12"/>
      <c r="NFW41" s="19"/>
      <c r="NFX41" s="16"/>
      <c r="NFY41" s="18"/>
      <c r="NFZ41" s="13"/>
      <c r="NGA41" s="12"/>
      <c r="NGB41" s="18"/>
      <c r="NGC41" s="12"/>
      <c r="NGD41" s="19"/>
      <c r="NGE41" s="16"/>
      <c r="NGF41" s="18"/>
      <c r="NGG41" s="13"/>
      <c r="NGH41" s="12"/>
      <c r="NGI41" s="18"/>
      <c r="NGJ41" s="12"/>
      <c r="NGK41" s="19"/>
      <c r="NGL41" s="16"/>
      <c r="NGM41" s="18"/>
      <c r="NGN41" s="13"/>
      <c r="NGO41" s="12"/>
      <c r="NGP41" s="18"/>
      <c r="NGQ41" s="12"/>
      <c r="NGR41" s="19"/>
      <c r="NGS41" s="16"/>
      <c r="NGT41" s="18"/>
      <c r="NGU41" s="13"/>
      <c r="NGV41" s="12"/>
      <c r="NGW41" s="18"/>
      <c r="NGX41" s="12"/>
      <c r="NGY41" s="19"/>
      <c r="NGZ41" s="16"/>
      <c r="NHA41" s="18"/>
      <c r="NHB41" s="13"/>
      <c r="NHC41" s="12"/>
      <c r="NHD41" s="18"/>
      <c r="NHE41" s="12"/>
      <c r="NHF41" s="19"/>
      <c r="NHG41" s="16"/>
      <c r="NHH41" s="18"/>
      <c r="NHI41" s="13"/>
      <c r="NHJ41" s="12"/>
      <c r="NHK41" s="18"/>
      <c r="NHL41" s="12"/>
      <c r="NHM41" s="19"/>
      <c r="NHN41" s="16"/>
      <c r="NHO41" s="18"/>
      <c r="NHP41" s="13"/>
      <c r="NHQ41" s="12"/>
      <c r="NHR41" s="18"/>
      <c r="NHS41" s="12"/>
      <c r="NHT41" s="19"/>
      <c r="NHU41" s="16"/>
      <c r="NHV41" s="18"/>
      <c r="NHW41" s="13"/>
      <c r="NHX41" s="12"/>
      <c r="NHY41" s="18"/>
      <c r="NHZ41" s="12"/>
      <c r="NIA41" s="19"/>
      <c r="NIB41" s="16"/>
      <c r="NIC41" s="18"/>
      <c r="NID41" s="13"/>
      <c r="NIE41" s="12"/>
      <c r="NIF41" s="18"/>
      <c r="NIG41" s="12"/>
      <c r="NIH41" s="19"/>
      <c r="NII41" s="16"/>
      <c r="NIJ41" s="18"/>
      <c r="NIK41" s="13"/>
      <c r="NIL41" s="12"/>
      <c r="NIM41" s="18"/>
      <c r="NIN41" s="12"/>
      <c r="NIO41" s="19"/>
      <c r="NIP41" s="16"/>
      <c r="NIQ41" s="18"/>
      <c r="NIR41" s="13"/>
      <c r="NIS41" s="12"/>
      <c r="NIT41" s="18"/>
      <c r="NIU41" s="12"/>
      <c r="NIV41" s="19"/>
      <c r="NIW41" s="16"/>
      <c r="NIX41" s="18"/>
      <c r="NIY41" s="13"/>
      <c r="NIZ41" s="12"/>
      <c r="NJA41" s="18"/>
      <c r="NJB41" s="12"/>
      <c r="NJC41" s="19"/>
      <c r="NJD41" s="16"/>
      <c r="NJE41" s="18"/>
      <c r="NJF41" s="13"/>
      <c r="NJG41" s="12"/>
      <c r="NJH41" s="18"/>
      <c r="NJI41" s="12"/>
      <c r="NJJ41" s="19"/>
      <c r="NJK41" s="16"/>
      <c r="NJL41" s="18"/>
      <c r="NJM41" s="13"/>
      <c r="NJN41" s="12"/>
      <c r="NJO41" s="18"/>
      <c r="NJP41" s="12"/>
      <c r="NJQ41" s="19"/>
      <c r="NJR41" s="16"/>
      <c r="NJS41" s="18"/>
      <c r="NJT41" s="13"/>
      <c r="NJU41" s="12"/>
      <c r="NJV41" s="18"/>
      <c r="NJW41" s="12"/>
      <c r="NJX41" s="19"/>
      <c r="NJY41" s="16"/>
      <c r="NJZ41" s="18"/>
      <c r="NKA41" s="13"/>
      <c r="NKB41" s="12"/>
      <c r="NKC41" s="18"/>
      <c r="NKD41" s="12"/>
      <c r="NKE41" s="19"/>
      <c r="NKF41" s="16"/>
      <c r="NKG41" s="18"/>
      <c r="NKH41" s="13"/>
      <c r="NKI41" s="12"/>
      <c r="NKJ41" s="18"/>
      <c r="NKK41" s="12"/>
      <c r="NKL41" s="19"/>
      <c r="NKM41" s="16"/>
      <c r="NKN41" s="18"/>
      <c r="NKO41" s="13"/>
      <c r="NKP41" s="12"/>
      <c r="NKQ41" s="18"/>
      <c r="NKR41" s="12"/>
      <c r="NKS41" s="19"/>
      <c r="NKT41" s="16"/>
      <c r="NKU41" s="18"/>
      <c r="NKV41" s="13"/>
      <c r="NKW41" s="12"/>
      <c r="NKX41" s="18"/>
      <c r="NKY41" s="12"/>
      <c r="NKZ41" s="19"/>
      <c r="NLA41" s="16"/>
      <c r="NLB41" s="18"/>
      <c r="NLC41" s="13"/>
      <c r="NLD41" s="12"/>
      <c r="NLE41" s="18"/>
      <c r="NLF41" s="12"/>
      <c r="NLG41" s="19"/>
      <c r="NLH41" s="16"/>
      <c r="NLI41" s="18"/>
      <c r="NLJ41" s="13"/>
      <c r="NLK41" s="12"/>
      <c r="NLL41" s="18"/>
      <c r="NLM41" s="12"/>
      <c r="NLN41" s="19"/>
      <c r="NLO41" s="16"/>
      <c r="NLP41" s="18"/>
      <c r="NLQ41" s="13"/>
      <c r="NLR41" s="12"/>
      <c r="NLS41" s="18"/>
      <c r="NLT41" s="12"/>
      <c r="NLU41" s="19"/>
      <c r="NLV41" s="16"/>
      <c r="NLW41" s="18"/>
      <c r="NLX41" s="13"/>
      <c r="NLY41" s="12"/>
      <c r="NLZ41" s="18"/>
      <c r="NMA41" s="12"/>
      <c r="NMB41" s="19"/>
      <c r="NMC41" s="16"/>
      <c r="NMD41" s="18"/>
      <c r="NME41" s="13"/>
      <c r="NMF41" s="12"/>
      <c r="NMG41" s="18"/>
      <c r="NMH41" s="12"/>
      <c r="NMI41" s="19"/>
      <c r="NMJ41" s="16"/>
      <c r="NMK41" s="18"/>
      <c r="NML41" s="13"/>
      <c r="NMM41" s="12"/>
      <c r="NMN41" s="18"/>
      <c r="NMO41" s="12"/>
      <c r="NMP41" s="19"/>
      <c r="NMQ41" s="16"/>
      <c r="NMR41" s="18"/>
      <c r="NMS41" s="13"/>
      <c r="NMT41" s="12"/>
      <c r="NMU41" s="18"/>
      <c r="NMV41" s="12"/>
      <c r="NMW41" s="19"/>
      <c r="NMX41" s="16"/>
      <c r="NMY41" s="18"/>
      <c r="NMZ41" s="13"/>
      <c r="NNA41" s="12"/>
      <c r="NNB41" s="18"/>
      <c r="NNC41" s="12"/>
      <c r="NND41" s="19"/>
      <c r="NNE41" s="16"/>
      <c r="NNF41" s="18"/>
      <c r="NNG41" s="13"/>
      <c r="NNH41" s="12"/>
      <c r="NNI41" s="18"/>
      <c r="NNJ41" s="12"/>
      <c r="NNK41" s="19"/>
      <c r="NNL41" s="16"/>
      <c r="NNM41" s="18"/>
      <c r="NNN41" s="13"/>
      <c r="NNO41" s="12"/>
      <c r="NNP41" s="18"/>
      <c r="NNQ41" s="12"/>
      <c r="NNR41" s="19"/>
      <c r="NNS41" s="16"/>
      <c r="NNT41" s="18"/>
      <c r="NNU41" s="13"/>
      <c r="NNV41" s="12"/>
      <c r="NNW41" s="18"/>
      <c r="NNX41" s="12"/>
      <c r="NNY41" s="19"/>
      <c r="NNZ41" s="16"/>
      <c r="NOA41" s="18"/>
      <c r="NOB41" s="13"/>
      <c r="NOC41" s="12"/>
      <c r="NOD41" s="18"/>
      <c r="NOE41" s="12"/>
      <c r="NOF41" s="19"/>
      <c r="NOG41" s="16"/>
      <c r="NOH41" s="18"/>
      <c r="NOI41" s="13"/>
      <c r="NOJ41" s="12"/>
      <c r="NOK41" s="18"/>
      <c r="NOL41" s="12"/>
      <c r="NOM41" s="19"/>
      <c r="NON41" s="16"/>
      <c r="NOO41" s="18"/>
      <c r="NOP41" s="13"/>
      <c r="NOQ41" s="12"/>
      <c r="NOR41" s="18"/>
      <c r="NOS41" s="12"/>
      <c r="NOT41" s="19"/>
      <c r="NOU41" s="16"/>
      <c r="NOV41" s="18"/>
      <c r="NOW41" s="13"/>
      <c r="NOX41" s="12"/>
      <c r="NOY41" s="18"/>
      <c r="NOZ41" s="12"/>
      <c r="NPA41" s="19"/>
      <c r="NPB41" s="16"/>
      <c r="NPC41" s="18"/>
      <c r="NPD41" s="13"/>
      <c r="NPE41" s="12"/>
      <c r="NPF41" s="18"/>
      <c r="NPG41" s="12"/>
      <c r="NPH41" s="19"/>
      <c r="NPI41" s="16"/>
      <c r="NPJ41" s="18"/>
      <c r="NPK41" s="13"/>
      <c r="NPL41" s="12"/>
      <c r="NPM41" s="18"/>
      <c r="NPN41" s="12"/>
      <c r="NPO41" s="19"/>
      <c r="NPP41" s="16"/>
      <c r="NPQ41" s="18"/>
      <c r="NPR41" s="13"/>
      <c r="NPS41" s="12"/>
      <c r="NPT41" s="18"/>
      <c r="NPU41" s="12"/>
      <c r="NPV41" s="19"/>
      <c r="NPW41" s="16"/>
      <c r="NPX41" s="18"/>
      <c r="NPY41" s="13"/>
      <c r="NPZ41" s="12"/>
      <c r="NQA41" s="18"/>
      <c r="NQB41" s="12"/>
      <c r="NQC41" s="19"/>
      <c r="NQD41" s="16"/>
      <c r="NQE41" s="18"/>
      <c r="NQF41" s="13"/>
      <c r="NQG41" s="12"/>
      <c r="NQH41" s="18"/>
      <c r="NQI41" s="12"/>
      <c r="NQJ41" s="19"/>
      <c r="NQK41" s="16"/>
      <c r="NQL41" s="18"/>
      <c r="NQM41" s="13"/>
      <c r="NQN41" s="12"/>
      <c r="NQO41" s="18"/>
      <c r="NQP41" s="12"/>
      <c r="NQQ41" s="19"/>
      <c r="NQR41" s="16"/>
      <c r="NQS41" s="18"/>
      <c r="NQT41" s="13"/>
      <c r="NQU41" s="12"/>
      <c r="NQV41" s="18"/>
      <c r="NQW41" s="12"/>
      <c r="NQX41" s="19"/>
      <c r="NQY41" s="16"/>
      <c r="NQZ41" s="18"/>
      <c r="NRA41" s="13"/>
      <c r="NRB41" s="12"/>
      <c r="NRC41" s="18"/>
      <c r="NRD41" s="12"/>
      <c r="NRE41" s="19"/>
      <c r="NRF41" s="16"/>
      <c r="NRG41" s="18"/>
      <c r="NRH41" s="13"/>
      <c r="NRI41" s="12"/>
      <c r="NRJ41" s="18"/>
      <c r="NRK41" s="12"/>
      <c r="NRL41" s="19"/>
      <c r="NRM41" s="16"/>
      <c r="NRN41" s="18"/>
      <c r="NRO41" s="13"/>
      <c r="NRP41" s="12"/>
      <c r="NRQ41" s="18"/>
      <c r="NRR41" s="12"/>
      <c r="NRS41" s="19"/>
      <c r="NRT41" s="16"/>
      <c r="NRU41" s="18"/>
      <c r="NRV41" s="13"/>
      <c r="NRW41" s="12"/>
      <c r="NRX41" s="18"/>
      <c r="NRY41" s="12"/>
      <c r="NRZ41" s="19"/>
      <c r="NSA41" s="16"/>
      <c r="NSB41" s="18"/>
      <c r="NSC41" s="13"/>
      <c r="NSD41" s="12"/>
      <c r="NSE41" s="18"/>
      <c r="NSF41" s="12"/>
      <c r="NSG41" s="19"/>
      <c r="NSH41" s="16"/>
      <c r="NSI41" s="18"/>
      <c r="NSJ41" s="13"/>
      <c r="NSK41" s="12"/>
      <c r="NSL41" s="18"/>
      <c r="NSM41" s="12"/>
      <c r="NSN41" s="19"/>
      <c r="NSO41" s="16"/>
      <c r="NSP41" s="18"/>
      <c r="NSQ41" s="13"/>
      <c r="NSR41" s="12"/>
      <c r="NSS41" s="18"/>
      <c r="NST41" s="12"/>
      <c r="NSU41" s="19"/>
      <c r="NSV41" s="16"/>
      <c r="NSW41" s="18"/>
      <c r="NSX41" s="13"/>
      <c r="NSY41" s="12"/>
      <c r="NSZ41" s="18"/>
      <c r="NTA41" s="12"/>
      <c r="NTB41" s="19"/>
      <c r="NTC41" s="16"/>
      <c r="NTD41" s="18"/>
      <c r="NTE41" s="13"/>
      <c r="NTF41" s="12"/>
      <c r="NTG41" s="18"/>
      <c r="NTH41" s="12"/>
      <c r="NTI41" s="19"/>
      <c r="NTJ41" s="16"/>
      <c r="NTK41" s="18"/>
      <c r="NTL41" s="13"/>
      <c r="NTM41" s="12"/>
      <c r="NTN41" s="18"/>
      <c r="NTO41" s="12"/>
      <c r="NTP41" s="19"/>
      <c r="NTQ41" s="16"/>
      <c r="NTR41" s="18"/>
      <c r="NTS41" s="13"/>
      <c r="NTT41" s="12"/>
      <c r="NTU41" s="18"/>
      <c r="NTV41" s="12"/>
      <c r="NTW41" s="19"/>
      <c r="NTX41" s="16"/>
      <c r="NTY41" s="18"/>
      <c r="NTZ41" s="13"/>
      <c r="NUA41" s="12"/>
      <c r="NUB41" s="18"/>
      <c r="NUC41" s="12"/>
      <c r="NUD41" s="19"/>
      <c r="NUE41" s="16"/>
      <c r="NUF41" s="18"/>
      <c r="NUG41" s="13"/>
      <c r="NUH41" s="12"/>
      <c r="NUI41" s="18"/>
      <c r="NUJ41" s="12"/>
      <c r="NUK41" s="19"/>
      <c r="NUL41" s="16"/>
      <c r="NUM41" s="18"/>
      <c r="NUN41" s="13"/>
      <c r="NUO41" s="12"/>
      <c r="NUP41" s="18"/>
      <c r="NUQ41" s="12"/>
      <c r="NUR41" s="19"/>
      <c r="NUS41" s="16"/>
      <c r="NUT41" s="18"/>
      <c r="NUU41" s="13"/>
      <c r="NUV41" s="12"/>
      <c r="NUW41" s="18"/>
      <c r="NUX41" s="12"/>
      <c r="NUY41" s="19"/>
      <c r="NUZ41" s="16"/>
      <c r="NVA41" s="18"/>
      <c r="NVB41" s="13"/>
      <c r="NVC41" s="12"/>
      <c r="NVD41" s="18"/>
      <c r="NVE41" s="12"/>
      <c r="NVF41" s="19"/>
      <c r="NVG41" s="16"/>
      <c r="NVH41" s="18"/>
      <c r="NVI41" s="13"/>
      <c r="NVJ41" s="12"/>
      <c r="NVK41" s="18"/>
      <c r="NVL41" s="12"/>
      <c r="NVM41" s="19"/>
      <c r="NVN41" s="16"/>
      <c r="NVO41" s="18"/>
      <c r="NVP41" s="13"/>
      <c r="NVQ41" s="12"/>
      <c r="NVR41" s="18"/>
      <c r="NVS41" s="12"/>
      <c r="NVT41" s="19"/>
      <c r="NVU41" s="16"/>
      <c r="NVV41" s="18"/>
      <c r="NVW41" s="13"/>
      <c r="NVX41" s="12"/>
      <c r="NVY41" s="18"/>
      <c r="NVZ41" s="12"/>
      <c r="NWA41" s="19"/>
      <c r="NWB41" s="16"/>
      <c r="NWC41" s="18"/>
      <c r="NWD41" s="13"/>
      <c r="NWE41" s="12"/>
      <c r="NWF41" s="18"/>
      <c r="NWG41" s="12"/>
      <c r="NWH41" s="19"/>
      <c r="NWI41" s="16"/>
      <c r="NWJ41" s="18"/>
      <c r="NWK41" s="13"/>
      <c r="NWL41" s="12"/>
      <c r="NWM41" s="18"/>
      <c r="NWN41" s="12"/>
      <c r="NWO41" s="19"/>
      <c r="NWP41" s="16"/>
      <c r="NWQ41" s="18"/>
      <c r="NWR41" s="13"/>
      <c r="NWS41" s="12"/>
      <c r="NWT41" s="18"/>
      <c r="NWU41" s="12"/>
      <c r="NWV41" s="19"/>
      <c r="NWW41" s="16"/>
      <c r="NWX41" s="18"/>
      <c r="NWY41" s="13"/>
      <c r="NWZ41" s="12"/>
      <c r="NXA41" s="18"/>
      <c r="NXB41" s="12"/>
      <c r="NXC41" s="19"/>
      <c r="NXD41" s="16"/>
      <c r="NXE41" s="18"/>
      <c r="NXF41" s="13"/>
      <c r="NXG41" s="12"/>
      <c r="NXH41" s="18"/>
      <c r="NXI41" s="12"/>
      <c r="NXJ41" s="19"/>
      <c r="NXK41" s="16"/>
      <c r="NXL41" s="18"/>
      <c r="NXM41" s="13"/>
      <c r="NXN41" s="12"/>
      <c r="NXO41" s="18"/>
      <c r="NXP41" s="12"/>
      <c r="NXQ41" s="19"/>
      <c r="NXR41" s="16"/>
      <c r="NXS41" s="18"/>
      <c r="NXT41" s="13"/>
      <c r="NXU41" s="12"/>
      <c r="NXV41" s="18"/>
      <c r="NXW41" s="12"/>
      <c r="NXX41" s="19"/>
      <c r="NXY41" s="16"/>
      <c r="NXZ41" s="18"/>
      <c r="NYA41" s="13"/>
      <c r="NYB41" s="12"/>
      <c r="NYC41" s="18"/>
      <c r="NYD41" s="12"/>
      <c r="NYE41" s="19"/>
      <c r="NYF41" s="16"/>
      <c r="NYG41" s="18"/>
      <c r="NYH41" s="13"/>
      <c r="NYI41" s="12"/>
      <c r="NYJ41" s="18"/>
      <c r="NYK41" s="12"/>
      <c r="NYL41" s="19"/>
      <c r="NYM41" s="16"/>
      <c r="NYN41" s="18"/>
      <c r="NYO41" s="13"/>
      <c r="NYP41" s="12"/>
      <c r="NYQ41" s="18"/>
      <c r="NYR41" s="12"/>
      <c r="NYS41" s="19"/>
      <c r="NYT41" s="16"/>
      <c r="NYU41" s="18"/>
      <c r="NYV41" s="13"/>
      <c r="NYW41" s="12"/>
      <c r="NYX41" s="18"/>
      <c r="NYY41" s="12"/>
      <c r="NYZ41" s="19"/>
      <c r="NZA41" s="16"/>
      <c r="NZB41" s="18"/>
      <c r="NZC41" s="13"/>
      <c r="NZD41" s="12"/>
      <c r="NZE41" s="18"/>
      <c r="NZF41" s="12"/>
      <c r="NZG41" s="19"/>
      <c r="NZH41" s="16"/>
      <c r="NZI41" s="18"/>
      <c r="NZJ41" s="13"/>
      <c r="NZK41" s="12"/>
      <c r="NZL41" s="18"/>
      <c r="NZM41" s="12"/>
      <c r="NZN41" s="19"/>
      <c r="NZO41" s="16"/>
      <c r="NZP41" s="18"/>
      <c r="NZQ41" s="13"/>
      <c r="NZR41" s="12"/>
      <c r="NZS41" s="18"/>
      <c r="NZT41" s="12"/>
      <c r="NZU41" s="19"/>
      <c r="NZV41" s="16"/>
      <c r="NZW41" s="18"/>
      <c r="NZX41" s="13"/>
      <c r="NZY41" s="12"/>
      <c r="NZZ41" s="18"/>
      <c r="OAA41" s="12"/>
      <c r="OAB41" s="19"/>
      <c r="OAC41" s="16"/>
      <c r="OAD41" s="18"/>
      <c r="OAE41" s="13"/>
      <c r="OAF41" s="12"/>
      <c r="OAG41" s="18"/>
      <c r="OAH41" s="12"/>
      <c r="OAI41" s="19"/>
      <c r="OAJ41" s="16"/>
      <c r="OAK41" s="18"/>
      <c r="OAL41" s="13"/>
      <c r="OAM41" s="12"/>
      <c r="OAN41" s="18"/>
      <c r="OAO41" s="12"/>
      <c r="OAP41" s="19"/>
      <c r="OAQ41" s="16"/>
      <c r="OAR41" s="18"/>
      <c r="OAS41" s="13"/>
      <c r="OAT41" s="12"/>
      <c r="OAU41" s="18"/>
      <c r="OAV41" s="12"/>
      <c r="OAW41" s="19"/>
      <c r="OAX41" s="16"/>
      <c r="OAY41" s="18"/>
      <c r="OAZ41" s="13"/>
      <c r="OBA41" s="12"/>
      <c r="OBB41" s="18"/>
      <c r="OBC41" s="12"/>
      <c r="OBD41" s="19"/>
      <c r="OBE41" s="16"/>
      <c r="OBF41" s="18"/>
      <c r="OBG41" s="13"/>
      <c r="OBH41" s="12"/>
      <c r="OBI41" s="18"/>
      <c r="OBJ41" s="12"/>
      <c r="OBK41" s="19"/>
      <c r="OBL41" s="16"/>
      <c r="OBM41" s="18"/>
      <c r="OBN41" s="13"/>
      <c r="OBO41" s="12"/>
      <c r="OBP41" s="18"/>
      <c r="OBQ41" s="12"/>
      <c r="OBR41" s="19"/>
      <c r="OBS41" s="16"/>
      <c r="OBT41" s="18"/>
      <c r="OBU41" s="13"/>
      <c r="OBV41" s="12"/>
      <c r="OBW41" s="18"/>
      <c r="OBX41" s="12"/>
      <c r="OBY41" s="19"/>
      <c r="OBZ41" s="16"/>
      <c r="OCA41" s="18"/>
      <c r="OCB41" s="13"/>
      <c r="OCC41" s="12"/>
      <c r="OCD41" s="18"/>
      <c r="OCE41" s="12"/>
      <c r="OCF41" s="19"/>
      <c r="OCG41" s="16"/>
      <c r="OCH41" s="18"/>
      <c r="OCI41" s="13"/>
      <c r="OCJ41" s="12"/>
      <c r="OCK41" s="18"/>
      <c r="OCL41" s="12"/>
      <c r="OCM41" s="19"/>
      <c r="OCN41" s="16"/>
      <c r="OCO41" s="18"/>
      <c r="OCP41" s="13"/>
      <c r="OCQ41" s="12"/>
      <c r="OCR41" s="18"/>
      <c r="OCS41" s="12"/>
      <c r="OCT41" s="19"/>
      <c r="OCU41" s="16"/>
      <c r="OCV41" s="18"/>
      <c r="OCW41" s="13"/>
      <c r="OCX41" s="12"/>
      <c r="OCY41" s="18"/>
      <c r="OCZ41" s="12"/>
      <c r="ODA41" s="19"/>
      <c r="ODB41" s="16"/>
      <c r="ODC41" s="18"/>
      <c r="ODD41" s="13"/>
      <c r="ODE41" s="12"/>
      <c r="ODF41" s="18"/>
      <c r="ODG41" s="12"/>
      <c r="ODH41" s="19"/>
      <c r="ODI41" s="16"/>
      <c r="ODJ41" s="18"/>
      <c r="ODK41" s="13"/>
      <c r="ODL41" s="12"/>
      <c r="ODM41" s="18"/>
      <c r="ODN41" s="12"/>
      <c r="ODO41" s="19"/>
      <c r="ODP41" s="16"/>
      <c r="ODQ41" s="18"/>
      <c r="ODR41" s="13"/>
      <c r="ODS41" s="12"/>
      <c r="ODT41" s="18"/>
      <c r="ODU41" s="12"/>
      <c r="ODV41" s="19"/>
      <c r="ODW41" s="16"/>
      <c r="ODX41" s="18"/>
      <c r="ODY41" s="13"/>
      <c r="ODZ41" s="12"/>
      <c r="OEA41" s="18"/>
      <c r="OEB41" s="12"/>
      <c r="OEC41" s="19"/>
      <c r="OED41" s="16"/>
      <c r="OEE41" s="18"/>
      <c r="OEF41" s="13"/>
      <c r="OEG41" s="12"/>
      <c r="OEH41" s="18"/>
      <c r="OEI41" s="12"/>
      <c r="OEJ41" s="19"/>
      <c r="OEK41" s="16"/>
      <c r="OEL41" s="18"/>
      <c r="OEM41" s="13"/>
      <c r="OEN41" s="12"/>
      <c r="OEO41" s="18"/>
      <c r="OEP41" s="12"/>
      <c r="OEQ41" s="19"/>
      <c r="OER41" s="16"/>
      <c r="OES41" s="18"/>
      <c r="OET41" s="13"/>
      <c r="OEU41" s="12"/>
      <c r="OEV41" s="18"/>
      <c r="OEW41" s="12"/>
      <c r="OEX41" s="19"/>
      <c r="OEY41" s="16"/>
      <c r="OEZ41" s="18"/>
      <c r="OFA41" s="13"/>
      <c r="OFB41" s="12"/>
      <c r="OFC41" s="18"/>
      <c r="OFD41" s="12"/>
      <c r="OFE41" s="19"/>
      <c r="OFF41" s="16"/>
      <c r="OFG41" s="18"/>
      <c r="OFH41" s="13"/>
      <c r="OFI41" s="12"/>
      <c r="OFJ41" s="18"/>
      <c r="OFK41" s="12"/>
      <c r="OFL41" s="19"/>
      <c r="OFM41" s="16"/>
      <c r="OFN41" s="18"/>
      <c r="OFO41" s="13"/>
      <c r="OFP41" s="12"/>
      <c r="OFQ41" s="18"/>
      <c r="OFR41" s="12"/>
      <c r="OFS41" s="19"/>
      <c r="OFT41" s="16"/>
      <c r="OFU41" s="18"/>
      <c r="OFV41" s="13"/>
      <c r="OFW41" s="12"/>
      <c r="OFX41" s="18"/>
      <c r="OFY41" s="12"/>
      <c r="OFZ41" s="19"/>
      <c r="OGA41" s="16"/>
      <c r="OGB41" s="18"/>
      <c r="OGC41" s="13"/>
      <c r="OGD41" s="12"/>
      <c r="OGE41" s="18"/>
      <c r="OGF41" s="12"/>
      <c r="OGG41" s="19"/>
      <c r="OGH41" s="16"/>
      <c r="OGI41" s="18"/>
      <c r="OGJ41" s="13"/>
      <c r="OGK41" s="12"/>
      <c r="OGL41" s="18"/>
      <c r="OGM41" s="12"/>
      <c r="OGN41" s="19"/>
      <c r="OGO41" s="16"/>
      <c r="OGP41" s="18"/>
      <c r="OGQ41" s="13"/>
      <c r="OGR41" s="12"/>
      <c r="OGS41" s="18"/>
      <c r="OGT41" s="12"/>
      <c r="OGU41" s="19"/>
      <c r="OGV41" s="16"/>
      <c r="OGW41" s="18"/>
      <c r="OGX41" s="13"/>
      <c r="OGY41" s="12"/>
      <c r="OGZ41" s="18"/>
      <c r="OHA41" s="12"/>
      <c r="OHB41" s="19"/>
      <c r="OHC41" s="16"/>
      <c r="OHD41" s="18"/>
      <c r="OHE41" s="13"/>
      <c r="OHF41" s="12"/>
      <c r="OHG41" s="18"/>
      <c r="OHH41" s="12"/>
      <c r="OHI41" s="19"/>
      <c r="OHJ41" s="16"/>
      <c r="OHK41" s="18"/>
      <c r="OHL41" s="13"/>
      <c r="OHM41" s="12"/>
      <c r="OHN41" s="18"/>
      <c r="OHO41" s="12"/>
      <c r="OHP41" s="19"/>
      <c r="OHQ41" s="16"/>
      <c r="OHR41" s="18"/>
      <c r="OHS41" s="13"/>
      <c r="OHT41" s="12"/>
      <c r="OHU41" s="18"/>
      <c r="OHV41" s="12"/>
      <c r="OHW41" s="19"/>
      <c r="OHX41" s="16"/>
      <c r="OHY41" s="18"/>
      <c r="OHZ41" s="13"/>
      <c r="OIA41" s="12"/>
      <c r="OIB41" s="18"/>
      <c r="OIC41" s="12"/>
      <c r="OID41" s="19"/>
      <c r="OIE41" s="16"/>
      <c r="OIF41" s="18"/>
      <c r="OIG41" s="13"/>
      <c r="OIH41" s="12"/>
      <c r="OII41" s="18"/>
      <c r="OIJ41" s="12"/>
      <c r="OIK41" s="19"/>
      <c r="OIL41" s="16"/>
      <c r="OIM41" s="18"/>
      <c r="OIN41" s="13"/>
      <c r="OIO41" s="12"/>
      <c r="OIP41" s="18"/>
      <c r="OIQ41" s="12"/>
      <c r="OIR41" s="19"/>
      <c r="OIS41" s="16"/>
      <c r="OIT41" s="18"/>
      <c r="OIU41" s="13"/>
      <c r="OIV41" s="12"/>
      <c r="OIW41" s="18"/>
      <c r="OIX41" s="12"/>
      <c r="OIY41" s="19"/>
      <c r="OIZ41" s="16"/>
      <c r="OJA41" s="18"/>
      <c r="OJB41" s="13"/>
      <c r="OJC41" s="12"/>
      <c r="OJD41" s="18"/>
      <c r="OJE41" s="12"/>
      <c r="OJF41" s="19"/>
      <c r="OJG41" s="16"/>
      <c r="OJH41" s="18"/>
      <c r="OJI41" s="13"/>
      <c r="OJJ41" s="12"/>
      <c r="OJK41" s="18"/>
      <c r="OJL41" s="12"/>
      <c r="OJM41" s="19"/>
      <c r="OJN41" s="16"/>
      <c r="OJO41" s="18"/>
      <c r="OJP41" s="13"/>
      <c r="OJQ41" s="12"/>
      <c r="OJR41" s="18"/>
      <c r="OJS41" s="12"/>
      <c r="OJT41" s="19"/>
      <c r="OJU41" s="16"/>
      <c r="OJV41" s="18"/>
      <c r="OJW41" s="13"/>
      <c r="OJX41" s="12"/>
      <c r="OJY41" s="18"/>
      <c r="OJZ41" s="12"/>
      <c r="OKA41" s="19"/>
      <c r="OKB41" s="16"/>
      <c r="OKC41" s="18"/>
      <c r="OKD41" s="13"/>
      <c r="OKE41" s="12"/>
      <c r="OKF41" s="18"/>
      <c r="OKG41" s="12"/>
      <c r="OKH41" s="19"/>
      <c r="OKI41" s="16"/>
      <c r="OKJ41" s="18"/>
      <c r="OKK41" s="13"/>
      <c r="OKL41" s="12"/>
      <c r="OKM41" s="18"/>
      <c r="OKN41" s="12"/>
      <c r="OKO41" s="19"/>
      <c r="OKP41" s="16"/>
      <c r="OKQ41" s="18"/>
      <c r="OKR41" s="13"/>
      <c r="OKS41" s="12"/>
      <c r="OKT41" s="18"/>
      <c r="OKU41" s="12"/>
      <c r="OKV41" s="19"/>
      <c r="OKW41" s="16"/>
      <c r="OKX41" s="18"/>
      <c r="OKY41" s="13"/>
      <c r="OKZ41" s="12"/>
      <c r="OLA41" s="18"/>
      <c r="OLB41" s="12"/>
      <c r="OLC41" s="19"/>
      <c r="OLD41" s="16"/>
      <c r="OLE41" s="18"/>
      <c r="OLF41" s="13"/>
      <c r="OLG41" s="12"/>
      <c r="OLH41" s="18"/>
      <c r="OLI41" s="12"/>
      <c r="OLJ41" s="19"/>
      <c r="OLK41" s="16"/>
      <c r="OLL41" s="18"/>
      <c r="OLM41" s="13"/>
      <c r="OLN41" s="12"/>
      <c r="OLO41" s="18"/>
      <c r="OLP41" s="12"/>
      <c r="OLQ41" s="19"/>
      <c r="OLR41" s="16"/>
      <c r="OLS41" s="18"/>
      <c r="OLT41" s="13"/>
      <c r="OLU41" s="12"/>
      <c r="OLV41" s="18"/>
      <c r="OLW41" s="12"/>
      <c r="OLX41" s="19"/>
      <c r="OLY41" s="16"/>
      <c r="OLZ41" s="18"/>
      <c r="OMA41" s="13"/>
      <c r="OMB41" s="12"/>
      <c r="OMC41" s="18"/>
      <c r="OMD41" s="12"/>
      <c r="OME41" s="19"/>
      <c r="OMF41" s="16"/>
      <c r="OMG41" s="18"/>
      <c r="OMH41" s="13"/>
      <c r="OMI41" s="12"/>
      <c r="OMJ41" s="18"/>
      <c r="OMK41" s="12"/>
      <c r="OML41" s="19"/>
      <c r="OMM41" s="16"/>
      <c r="OMN41" s="18"/>
      <c r="OMO41" s="13"/>
      <c r="OMP41" s="12"/>
      <c r="OMQ41" s="18"/>
      <c r="OMR41" s="12"/>
      <c r="OMS41" s="19"/>
      <c r="OMT41" s="16"/>
      <c r="OMU41" s="18"/>
      <c r="OMV41" s="13"/>
      <c r="OMW41" s="12"/>
      <c r="OMX41" s="18"/>
      <c r="OMY41" s="12"/>
      <c r="OMZ41" s="19"/>
      <c r="ONA41" s="16"/>
      <c r="ONB41" s="18"/>
      <c r="ONC41" s="13"/>
      <c r="OND41" s="12"/>
      <c r="ONE41" s="18"/>
      <c r="ONF41" s="12"/>
      <c r="ONG41" s="19"/>
      <c r="ONH41" s="16"/>
      <c r="ONI41" s="18"/>
      <c r="ONJ41" s="13"/>
      <c r="ONK41" s="12"/>
      <c r="ONL41" s="18"/>
      <c r="ONM41" s="12"/>
      <c r="ONN41" s="19"/>
      <c r="ONO41" s="16"/>
      <c r="ONP41" s="18"/>
      <c r="ONQ41" s="13"/>
      <c r="ONR41" s="12"/>
      <c r="ONS41" s="18"/>
      <c r="ONT41" s="12"/>
      <c r="ONU41" s="19"/>
      <c r="ONV41" s="16"/>
      <c r="ONW41" s="18"/>
      <c r="ONX41" s="13"/>
      <c r="ONY41" s="12"/>
      <c r="ONZ41" s="18"/>
      <c r="OOA41" s="12"/>
      <c r="OOB41" s="19"/>
      <c r="OOC41" s="16"/>
      <c r="OOD41" s="18"/>
      <c r="OOE41" s="13"/>
      <c r="OOF41" s="12"/>
      <c r="OOG41" s="18"/>
      <c r="OOH41" s="12"/>
      <c r="OOI41" s="19"/>
      <c r="OOJ41" s="16"/>
      <c r="OOK41" s="18"/>
      <c r="OOL41" s="13"/>
      <c r="OOM41" s="12"/>
      <c r="OON41" s="18"/>
      <c r="OOO41" s="12"/>
      <c r="OOP41" s="19"/>
      <c r="OOQ41" s="16"/>
      <c r="OOR41" s="18"/>
      <c r="OOS41" s="13"/>
      <c r="OOT41" s="12"/>
      <c r="OOU41" s="18"/>
      <c r="OOV41" s="12"/>
      <c r="OOW41" s="19"/>
      <c r="OOX41" s="16"/>
      <c r="OOY41" s="18"/>
      <c r="OOZ41" s="13"/>
      <c r="OPA41" s="12"/>
      <c r="OPB41" s="18"/>
      <c r="OPC41" s="12"/>
      <c r="OPD41" s="19"/>
      <c r="OPE41" s="16"/>
      <c r="OPF41" s="18"/>
      <c r="OPG41" s="13"/>
      <c r="OPH41" s="12"/>
      <c r="OPI41" s="18"/>
      <c r="OPJ41" s="12"/>
      <c r="OPK41" s="19"/>
      <c r="OPL41" s="16"/>
      <c r="OPM41" s="18"/>
      <c r="OPN41" s="13"/>
      <c r="OPO41" s="12"/>
      <c r="OPP41" s="18"/>
      <c r="OPQ41" s="12"/>
      <c r="OPR41" s="19"/>
      <c r="OPS41" s="16"/>
      <c r="OPT41" s="18"/>
      <c r="OPU41" s="13"/>
      <c r="OPV41" s="12"/>
      <c r="OPW41" s="18"/>
      <c r="OPX41" s="12"/>
      <c r="OPY41" s="19"/>
      <c r="OPZ41" s="16"/>
      <c r="OQA41" s="18"/>
      <c r="OQB41" s="13"/>
      <c r="OQC41" s="12"/>
      <c r="OQD41" s="18"/>
      <c r="OQE41" s="12"/>
      <c r="OQF41" s="19"/>
      <c r="OQG41" s="16"/>
      <c r="OQH41" s="18"/>
      <c r="OQI41" s="13"/>
      <c r="OQJ41" s="12"/>
      <c r="OQK41" s="18"/>
      <c r="OQL41" s="12"/>
      <c r="OQM41" s="19"/>
      <c r="OQN41" s="16"/>
      <c r="OQO41" s="18"/>
      <c r="OQP41" s="13"/>
      <c r="OQQ41" s="12"/>
      <c r="OQR41" s="18"/>
      <c r="OQS41" s="12"/>
      <c r="OQT41" s="19"/>
      <c r="OQU41" s="16"/>
      <c r="OQV41" s="18"/>
      <c r="OQW41" s="13"/>
      <c r="OQX41" s="12"/>
      <c r="OQY41" s="18"/>
      <c r="OQZ41" s="12"/>
      <c r="ORA41" s="19"/>
      <c r="ORB41" s="16"/>
      <c r="ORC41" s="18"/>
      <c r="ORD41" s="13"/>
      <c r="ORE41" s="12"/>
      <c r="ORF41" s="18"/>
      <c r="ORG41" s="12"/>
      <c r="ORH41" s="19"/>
      <c r="ORI41" s="16"/>
      <c r="ORJ41" s="18"/>
      <c r="ORK41" s="13"/>
      <c r="ORL41" s="12"/>
      <c r="ORM41" s="18"/>
      <c r="ORN41" s="12"/>
      <c r="ORO41" s="19"/>
      <c r="ORP41" s="16"/>
      <c r="ORQ41" s="18"/>
      <c r="ORR41" s="13"/>
      <c r="ORS41" s="12"/>
      <c r="ORT41" s="18"/>
      <c r="ORU41" s="12"/>
      <c r="ORV41" s="19"/>
      <c r="ORW41" s="16"/>
      <c r="ORX41" s="18"/>
      <c r="ORY41" s="13"/>
      <c r="ORZ41" s="12"/>
      <c r="OSA41" s="18"/>
      <c r="OSB41" s="12"/>
      <c r="OSC41" s="19"/>
      <c r="OSD41" s="16"/>
      <c r="OSE41" s="18"/>
      <c r="OSF41" s="13"/>
      <c r="OSG41" s="12"/>
      <c r="OSH41" s="18"/>
      <c r="OSI41" s="12"/>
      <c r="OSJ41" s="19"/>
      <c r="OSK41" s="16"/>
      <c r="OSL41" s="18"/>
      <c r="OSM41" s="13"/>
      <c r="OSN41" s="12"/>
      <c r="OSO41" s="18"/>
      <c r="OSP41" s="12"/>
      <c r="OSQ41" s="19"/>
      <c r="OSR41" s="16"/>
      <c r="OSS41" s="18"/>
      <c r="OST41" s="13"/>
      <c r="OSU41" s="12"/>
      <c r="OSV41" s="18"/>
      <c r="OSW41" s="12"/>
      <c r="OSX41" s="19"/>
      <c r="OSY41" s="16"/>
      <c r="OSZ41" s="18"/>
      <c r="OTA41" s="13"/>
      <c r="OTB41" s="12"/>
      <c r="OTC41" s="18"/>
      <c r="OTD41" s="12"/>
      <c r="OTE41" s="19"/>
      <c r="OTF41" s="16"/>
      <c r="OTG41" s="18"/>
      <c r="OTH41" s="13"/>
      <c r="OTI41" s="12"/>
      <c r="OTJ41" s="18"/>
      <c r="OTK41" s="12"/>
      <c r="OTL41" s="19"/>
      <c r="OTM41" s="16"/>
      <c r="OTN41" s="18"/>
      <c r="OTO41" s="13"/>
      <c r="OTP41" s="12"/>
      <c r="OTQ41" s="18"/>
      <c r="OTR41" s="12"/>
      <c r="OTS41" s="19"/>
      <c r="OTT41" s="16"/>
      <c r="OTU41" s="18"/>
      <c r="OTV41" s="13"/>
      <c r="OTW41" s="12"/>
      <c r="OTX41" s="18"/>
      <c r="OTY41" s="12"/>
      <c r="OTZ41" s="19"/>
      <c r="OUA41" s="16"/>
      <c r="OUB41" s="18"/>
      <c r="OUC41" s="13"/>
      <c r="OUD41" s="12"/>
      <c r="OUE41" s="18"/>
      <c r="OUF41" s="12"/>
      <c r="OUG41" s="19"/>
      <c r="OUH41" s="16"/>
      <c r="OUI41" s="18"/>
      <c r="OUJ41" s="13"/>
      <c r="OUK41" s="12"/>
      <c r="OUL41" s="18"/>
      <c r="OUM41" s="12"/>
      <c r="OUN41" s="19"/>
      <c r="OUO41" s="16"/>
      <c r="OUP41" s="18"/>
      <c r="OUQ41" s="13"/>
      <c r="OUR41" s="12"/>
      <c r="OUS41" s="18"/>
      <c r="OUT41" s="12"/>
      <c r="OUU41" s="19"/>
      <c r="OUV41" s="16"/>
      <c r="OUW41" s="18"/>
      <c r="OUX41" s="13"/>
      <c r="OUY41" s="12"/>
      <c r="OUZ41" s="18"/>
      <c r="OVA41" s="12"/>
      <c r="OVB41" s="19"/>
      <c r="OVC41" s="16"/>
      <c r="OVD41" s="18"/>
      <c r="OVE41" s="13"/>
      <c r="OVF41" s="12"/>
      <c r="OVG41" s="18"/>
      <c r="OVH41" s="12"/>
      <c r="OVI41" s="19"/>
      <c r="OVJ41" s="16"/>
      <c r="OVK41" s="18"/>
      <c r="OVL41" s="13"/>
      <c r="OVM41" s="12"/>
      <c r="OVN41" s="18"/>
      <c r="OVO41" s="12"/>
      <c r="OVP41" s="19"/>
      <c r="OVQ41" s="16"/>
      <c r="OVR41" s="18"/>
      <c r="OVS41" s="13"/>
      <c r="OVT41" s="12"/>
      <c r="OVU41" s="18"/>
      <c r="OVV41" s="12"/>
      <c r="OVW41" s="19"/>
      <c r="OVX41" s="16"/>
      <c r="OVY41" s="18"/>
      <c r="OVZ41" s="13"/>
      <c r="OWA41" s="12"/>
      <c r="OWB41" s="18"/>
      <c r="OWC41" s="12"/>
      <c r="OWD41" s="19"/>
      <c r="OWE41" s="16"/>
      <c r="OWF41" s="18"/>
      <c r="OWG41" s="13"/>
      <c r="OWH41" s="12"/>
      <c r="OWI41" s="18"/>
      <c r="OWJ41" s="12"/>
      <c r="OWK41" s="19"/>
      <c r="OWL41" s="16"/>
      <c r="OWM41" s="18"/>
      <c r="OWN41" s="13"/>
      <c r="OWO41" s="12"/>
      <c r="OWP41" s="18"/>
      <c r="OWQ41" s="12"/>
      <c r="OWR41" s="19"/>
      <c r="OWS41" s="16"/>
      <c r="OWT41" s="18"/>
      <c r="OWU41" s="13"/>
      <c r="OWV41" s="12"/>
      <c r="OWW41" s="18"/>
      <c r="OWX41" s="12"/>
      <c r="OWY41" s="19"/>
      <c r="OWZ41" s="16"/>
      <c r="OXA41" s="18"/>
      <c r="OXB41" s="13"/>
      <c r="OXC41" s="12"/>
      <c r="OXD41" s="18"/>
      <c r="OXE41" s="12"/>
      <c r="OXF41" s="19"/>
      <c r="OXG41" s="16"/>
      <c r="OXH41" s="18"/>
      <c r="OXI41" s="13"/>
      <c r="OXJ41" s="12"/>
      <c r="OXK41" s="18"/>
      <c r="OXL41" s="12"/>
      <c r="OXM41" s="19"/>
      <c r="OXN41" s="16"/>
      <c r="OXO41" s="18"/>
      <c r="OXP41" s="13"/>
      <c r="OXQ41" s="12"/>
      <c r="OXR41" s="18"/>
      <c r="OXS41" s="12"/>
      <c r="OXT41" s="19"/>
      <c r="OXU41" s="16"/>
      <c r="OXV41" s="18"/>
      <c r="OXW41" s="13"/>
      <c r="OXX41" s="12"/>
      <c r="OXY41" s="18"/>
      <c r="OXZ41" s="12"/>
      <c r="OYA41" s="19"/>
      <c r="OYB41" s="16"/>
      <c r="OYC41" s="18"/>
      <c r="OYD41" s="13"/>
      <c r="OYE41" s="12"/>
      <c r="OYF41" s="18"/>
      <c r="OYG41" s="12"/>
      <c r="OYH41" s="19"/>
      <c r="OYI41" s="16"/>
      <c r="OYJ41" s="18"/>
      <c r="OYK41" s="13"/>
      <c r="OYL41" s="12"/>
      <c r="OYM41" s="18"/>
      <c r="OYN41" s="12"/>
      <c r="OYO41" s="19"/>
      <c r="OYP41" s="16"/>
      <c r="OYQ41" s="18"/>
      <c r="OYR41" s="13"/>
      <c r="OYS41" s="12"/>
      <c r="OYT41" s="18"/>
      <c r="OYU41" s="12"/>
      <c r="OYV41" s="19"/>
      <c r="OYW41" s="16"/>
      <c r="OYX41" s="18"/>
      <c r="OYY41" s="13"/>
      <c r="OYZ41" s="12"/>
      <c r="OZA41" s="18"/>
      <c r="OZB41" s="12"/>
      <c r="OZC41" s="19"/>
      <c r="OZD41" s="16"/>
      <c r="OZE41" s="18"/>
      <c r="OZF41" s="13"/>
      <c r="OZG41" s="12"/>
      <c r="OZH41" s="18"/>
      <c r="OZI41" s="12"/>
      <c r="OZJ41" s="19"/>
      <c r="OZK41" s="16"/>
      <c r="OZL41" s="18"/>
      <c r="OZM41" s="13"/>
      <c r="OZN41" s="12"/>
      <c r="OZO41" s="18"/>
      <c r="OZP41" s="12"/>
      <c r="OZQ41" s="19"/>
      <c r="OZR41" s="16"/>
      <c r="OZS41" s="18"/>
      <c r="OZT41" s="13"/>
      <c r="OZU41" s="12"/>
      <c r="OZV41" s="18"/>
      <c r="OZW41" s="12"/>
      <c r="OZX41" s="19"/>
      <c r="OZY41" s="16"/>
      <c r="OZZ41" s="18"/>
      <c r="PAA41" s="13"/>
      <c r="PAB41" s="12"/>
      <c r="PAC41" s="18"/>
      <c r="PAD41" s="12"/>
      <c r="PAE41" s="19"/>
      <c r="PAF41" s="16"/>
      <c r="PAG41" s="18"/>
      <c r="PAH41" s="13"/>
      <c r="PAI41" s="12"/>
      <c r="PAJ41" s="18"/>
      <c r="PAK41" s="12"/>
      <c r="PAL41" s="19"/>
      <c r="PAM41" s="16"/>
      <c r="PAN41" s="18"/>
      <c r="PAO41" s="13"/>
      <c r="PAP41" s="12"/>
      <c r="PAQ41" s="18"/>
      <c r="PAR41" s="12"/>
      <c r="PAS41" s="19"/>
      <c r="PAT41" s="16"/>
      <c r="PAU41" s="18"/>
      <c r="PAV41" s="13"/>
      <c r="PAW41" s="12"/>
      <c r="PAX41" s="18"/>
      <c r="PAY41" s="12"/>
      <c r="PAZ41" s="19"/>
      <c r="PBA41" s="16"/>
      <c r="PBB41" s="18"/>
      <c r="PBC41" s="13"/>
      <c r="PBD41" s="12"/>
      <c r="PBE41" s="18"/>
      <c r="PBF41" s="12"/>
      <c r="PBG41" s="19"/>
      <c r="PBH41" s="16"/>
      <c r="PBI41" s="18"/>
      <c r="PBJ41" s="13"/>
      <c r="PBK41" s="12"/>
      <c r="PBL41" s="18"/>
      <c r="PBM41" s="12"/>
      <c r="PBN41" s="19"/>
      <c r="PBO41" s="16"/>
      <c r="PBP41" s="18"/>
      <c r="PBQ41" s="13"/>
      <c r="PBR41" s="12"/>
      <c r="PBS41" s="18"/>
      <c r="PBT41" s="12"/>
      <c r="PBU41" s="19"/>
      <c r="PBV41" s="16"/>
      <c r="PBW41" s="18"/>
      <c r="PBX41" s="13"/>
      <c r="PBY41" s="12"/>
      <c r="PBZ41" s="18"/>
      <c r="PCA41" s="12"/>
      <c r="PCB41" s="19"/>
      <c r="PCC41" s="16"/>
      <c r="PCD41" s="18"/>
      <c r="PCE41" s="13"/>
      <c r="PCF41" s="12"/>
      <c r="PCG41" s="18"/>
      <c r="PCH41" s="12"/>
      <c r="PCI41" s="19"/>
      <c r="PCJ41" s="16"/>
      <c r="PCK41" s="18"/>
      <c r="PCL41" s="13"/>
      <c r="PCM41" s="12"/>
      <c r="PCN41" s="18"/>
      <c r="PCO41" s="12"/>
      <c r="PCP41" s="19"/>
      <c r="PCQ41" s="16"/>
      <c r="PCR41" s="18"/>
      <c r="PCS41" s="13"/>
      <c r="PCT41" s="12"/>
      <c r="PCU41" s="18"/>
      <c r="PCV41" s="12"/>
      <c r="PCW41" s="19"/>
      <c r="PCX41" s="16"/>
      <c r="PCY41" s="18"/>
      <c r="PCZ41" s="13"/>
      <c r="PDA41" s="12"/>
      <c r="PDB41" s="18"/>
      <c r="PDC41" s="12"/>
      <c r="PDD41" s="19"/>
      <c r="PDE41" s="16"/>
      <c r="PDF41" s="18"/>
      <c r="PDG41" s="13"/>
      <c r="PDH41" s="12"/>
      <c r="PDI41" s="18"/>
      <c r="PDJ41" s="12"/>
      <c r="PDK41" s="19"/>
      <c r="PDL41" s="16"/>
      <c r="PDM41" s="18"/>
      <c r="PDN41" s="13"/>
      <c r="PDO41" s="12"/>
      <c r="PDP41" s="18"/>
      <c r="PDQ41" s="12"/>
      <c r="PDR41" s="19"/>
      <c r="PDS41" s="16"/>
      <c r="PDT41" s="18"/>
      <c r="PDU41" s="13"/>
      <c r="PDV41" s="12"/>
      <c r="PDW41" s="18"/>
      <c r="PDX41" s="12"/>
      <c r="PDY41" s="19"/>
      <c r="PDZ41" s="16"/>
      <c r="PEA41" s="18"/>
      <c r="PEB41" s="13"/>
      <c r="PEC41" s="12"/>
      <c r="PED41" s="18"/>
      <c r="PEE41" s="12"/>
      <c r="PEF41" s="19"/>
      <c r="PEG41" s="16"/>
      <c r="PEH41" s="18"/>
      <c r="PEI41" s="13"/>
      <c r="PEJ41" s="12"/>
      <c r="PEK41" s="18"/>
      <c r="PEL41" s="12"/>
      <c r="PEM41" s="19"/>
      <c r="PEN41" s="16"/>
      <c r="PEO41" s="18"/>
      <c r="PEP41" s="13"/>
      <c r="PEQ41" s="12"/>
      <c r="PER41" s="18"/>
      <c r="PES41" s="12"/>
      <c r="PET41" s="19"/>
      <c r="PEU41" s="16"/>
      <c r="PEV41" s="18"/>
      <c r="PEW41" s="13"/>
      <c r="PEX41" s="12"/>
      <c r="PEY41" s="18"/>
      <c r="PEZ41" s="12"/>
      <c r="PFA41" s="19"/>
      <c r="PFB41" s="16"/>
      <c r="PFC41" s="18"/>
      <c r="PFD41" s="13"/>
      <c r="PFE41" s="12"/>
      <c r="PFF41" s="18"/>
      <c r="PFG41" s="12"/>
      <c r="PFH41" s="19"/>
      <c r="PFI41" s="16"/>
      <c r="PFJ41" s="18"/>
      <c r="PFK41" s="13"/>
      <c r="PFL41" s="12"/>
      <c r="PFM41" s="18"/>
      <c r="PFN41" s="12"/>
      <c r="PFO41" s="19"/>
      <c r="PFP41" s="16"/>
      <c r="PFQ41" s="18"/>
      <c r="PFR41" s="13"/>
      <c r="PFS41" s="12"/>
      <c r="PFT41" s="18"/>
      <c r="PFU41" s="12"/>
      <c r="PFV41" s="19"/>
      <c r="PFW41" s="16"/>
      <c r="PFX41" s="18"/>
      <c r="PFY41" s="13"/>
      <c r="PFZ41" s="12"/>
      <c r="PGA41" s="18"/>
      <c r="PGB41" s="12"/>
      <c r="PGC41" s="19"/>
      <c r="PGD41" s="16"/>
      <c r="PGE41" s="18"/>
      <c r="PGF41" s="13"/>
      <c r="PGG41" s="12"/>
      <c r="PGH41" s="18"/>
      <c r="PGI41" s="12"/>
      <c r="PGJ41" s="19"/>
      <c r="PGK41" s="16"/>
      <c r="PGL41" s="18"/>
      <c r="PGM41" s="13"/>
      <c r="PGN41" s="12"/>
      <c r="PGO41" s="18"/>
      <c r="PGP41" s="12"/>
      <c r="PGQ41" s="19"/>
      <c r="PGR41" s="16"/>
      <c r="PGS41" s="18"/>
      <c r="PGT41" s="13"/>
      <c r="PGU41" s="12"/>
      <c r="PGV41" s="18"/>
      <c r="PGW41" s="12"/>
      <c r="PGX41" s="19"/>
      <c r="PGY41" s="16"/>
      <c r="PGZ41" s="18"/>
      <c r="PHA41" s="13"/>
      <c r="PHB41" s="12"/>
      <c r="PHC41" s="18"/>
      <c r="PHD41" s="12"/>
      <c r="PHE41" s="19"/>
      <c r="PHF41" s="16"/>
      <c r="PHG41" s="18"/>
      <c r="PHH41" s="13"/>
      <c r="PHI41" s="12"/>
      <c r="PHJ41" s="18"/>
      <c r="PHK41" s="12"/>
      <c r="PHL41" s="19"/>
      <c r="PHM41" s="16"/>
      <c r="PHN41" s="18"/>
      <c r="PHO41" s="13"/>
      <c r="PHP41" s="12"/>
      <c r="PHQ41" s="18"/>
      <c r="PHR41" s="12"/>
      <c r="PHS41" s="19"/>
      <c r="PHT41" s="16"/>
      <c r="PHU41" s="18"/>
      <c r="PHV41" s="13"/>
      <c r="PHW41" s="12"/>
      <c r="PHX41" s="18"/>
      <c r="PHY41" s="12"/>
      <c r="PHZ41" s="19"/>
      <c r="PIA41" s="16"/>
      <c r="PIB41" s="18"/>
      <c r="PIC41" s="13"/>
      <c r="PID41" s="12"/>
      <c r="PIE41" s="18"/>
      <c r="PIF41" s="12"/>
      <c r="PIG41" s="19"/>
      <c r="PIH41" s="16"/>
      <c r="PII41" s="18"/>
      <c r="PIJ41" s="13"/>
      <c r="PIK41" s="12"/>
      <c r="PIL41" s="18"/>
      <c r="PIM41" s="12"/>
      <c r="PIN41" s="19"/>
      <c r="PIO41" s="16"/>
      <c r="PIP41" s="18"/>
      <c r="PIQ41" s="13"/>
      <c r="PIR41" s="12"/>
      <c r="PIS41" s="18"/>
      <c r="PIT41" s="12"/>
      <c r="PIU41" s="19"/>
      <c r="PIV41" s="16"/>
      <c r="PIW41" s="18"/>
      <c r="PIX41" s="13"/>
      <c r="PIY41" s="12"/>
      <c r="PIZ41" s="18"/>
      <c r="PJA41" s="12"/>
      <c r="PJB41" s="19"/>
      <c r="PJC41" s="16"/>
      <c r="PJD41" s="18"/>
      <c r="PJE41" s="13"/>
      <c r="PJF41" s="12"/>
      <c r="PJG41" s="18"/>
      <c r="PJH41" s="12"/>
      <c r="PJI41" s="19"/>
      <c r="PJJ41" s="16"/>
      <c r="PJK41" s="18"/>
      <c r="PJL41" s="13"/>
      <c r="PJM41" s="12"/>
      <c r="PJN41" s="18"/>
      <c r="PJO41" s="12"/>
      <c r="PJP41" s="19"/>
      <c r="PJQ41" s="16"/>
      <c r="PJR41" s="18"/>
      <c r="PJS41" s="13"/>
      <c r="PJT41" s="12"/>
      <c r="PJU41" s="18"/>
      <c r="PJV41" s="12"/>
      <c r="PJW41" s="19"/>
      <c r="PJX41" s="16"/>
      <c r="PJY41" s="18"/>
      <c r="PJZ41" s="13"/>
      <c r="PKA41" s="12"/>
      <c r="PKB41" s="18"/>
      <c r="PKC41" s="12"/>
      <c r="PKD41" s="19"/>
      <c r="PKE41" s="16"/>
      <c r="PKF41" s="18"/>
      <c r="PKG41" s="13"/>
      <c r="PKH41" s="12"/>
      <c r="PKI41" s="18"/>
      <c r="PKJ41" s="12"/>
      <c r="PKK41" s="19"/>
      <c r="PKL41" s="16"/>
      <c r="PKM41" s="18"/>
      <c r="PKN41" s="13"/>
      <c r="PKO41" s="12"/>
      <c r="PKP41" s="18"/>
      <c r="PKQ41" s="12"/>
      <c r="PKR41" s="19"/>
      <c r="PKS41" s="16"/>
      <c r="PKT41" s="18"/>
      <c r="PKU41" s="13"/>
      <c r="PKV41" s="12"/>
      <c r="PKW41" s="18"/>
      <c r="PKX41" s="12"/>
      <c r="PKY41" s="19"/>
      <c r="PKZ41" s="16"/>
      <c r="PLA41" s="18"/>
      <c r="PLB41" s="13"/>
      <c r="PLC41" s="12"/>
      <c r="PLD41" s="18"/>
      <c r="PLE41" s="12"/>
      <c r="PLF41" s="19"/>
      <c r="PLG41" s="16"/>
      <c r="PLH41" s="18"/>
      <c r="PLI41" s="13"/>
      <c r="PLJ41" s="12"/>
      <c r="PLK41" s="18"/>
      <c r="PLL41" s="12"/>
      <c r="PLM41" s="19"/>
      <c r="PLN41" s="16"/>
      <c r="PLO41" s="18"/>
      <c r="PLP41" s="13"/>
      <c r="PLQ41" s="12"/>
      <c r="PLR41" s="18"/>
      <c r="PLS41" s="12"/>
      <c r="PLT41" s="19"/>
      <c r="PLU41" s="16"/>
      <c r="PLV41" s="18"/>
      <c r="PLW41" s="13"/>
      <c r="PLX41" s="12"/>
      <c r="PLY41" s="18"/>
      <c r="PLZ41" s="12"/>
      <c r="PMA41" s="19"/>
      <c r="PMB41" s="16"/>
      <c r="PMC41" s="18"/>
      <c r="PMD41" s="13"/>
      <c r="PME41" s="12"/>
      <c r="PMF41" s="18"/>
      <c r="PMG41" s="12"/>
      <c r="PMH41" s="19"/>
      <c r="PMI41" s="16"/>
      <c r="PMJ41" s="18"/>
      <c r="PMK41" s="13"/>
      <c r="PML41" s="12"/>
      <c r="PMM41" s="18"/>
      <c r="PMN41" s="12"/>
      <c r="PMO41" s="19"/>
      <c r="PMP41" s="16"/>
      <c r="PMQ41" s="18"/>
      <c r="PMR41" s="13"/>
      <c r="PMS41" s="12"/>
      <c r="PMT41" s="18"/>
      <c r="PMU41" s="12"/>
      <c r="PMV41" s="19"/>
      <c r="PMW41" s="16"/>
      <c r="PMX41" s="18"/>
      <c r="PMY41" s="13"/>
      <c r="PMZ41" s="12"/>
      <c r="PNA41" s="18"/>
      <c r="PNB41" s="12"/>
      <c r="PNC41" s="19"/>
      <c r="PND41" s="16"/>
      <c r="PNE41" s="18"/>
      <c r="PNF41" s="13"/>
      <c r="PNG41" s="12"/>
      <c r="PNH41" s="18"/>
      <c r="PNI41" s="12"/>
      <c r="PNJ41" s="19"/>
      <c r="PNK41" s="16"/>
      <c r="PNL41" s="18"/>
      <c r="PNM41" s="13"/>
      <c r="PNN41" s="12"/>
      <c r="PNO41" s="18"/>
      <c r="PNP41" s="12"/>
      <c r="PNQ41" s="19"/>
      <c r="PNR41" s="16"/>
      <c r="PNS41" s="18"/>
      <c r="PNT41" s="13"/>
      <c r="PNU41" s="12"/>
      <c r="PNV41" s="18"/>
      <c r="PNW41" s="12"/>
      <c r="PNX41" s="19"/>
      <c r="PNY41" s="16"/>
      <c r="PNZ41" s="18"/>
      <c r="POA41" s="13"/>
      <c r="POB41" s="12"/>
      <c r="POC41" s="18"/>
      <c r="POD41" s="12"/>
      <c r="POE41" s="19"/>
      <c r="POF41" s="16"/>
      <c r="POG41" s="18"/>
      <c r="POH41" s="13"/>
      <c r="POI41" s="12"/>
      <c r="POJ41" s="18"/>
      <c r="POK41" s="12"/>
      <c r="POL41" s="19"/>
      <c r="POM41" s="16"/>
      <c r="PON41" s="18"/>
      <c r="POO41" s="13"/>
      <c r="POP41" s="12"/>
      <c r="POQ41" s="18"/>
      <c r="POR41" s="12"/>
      <c r="POS41" s="19"/>
      <c r="POT41" s="16"/>
      <c r="POU41" s="18"/>
      <c r="POV41" s="13"/>
      <c r="POW41" s="12"/>
      <c r="POX41" s="18"/>
      <c r="POY41" s="12"/>
      <c r="POZ41" s="19"/>
      <c r="PPA41" s="16"/>
      <c r="PPB41" s="18"/>
      <c r="PPC41" s="13"/>
      <c r="PPD41" s="12"/>
      <c r="PPE41" s="18"/>
      <c r="PPF41" s="12"/>
      <c r="PPG41" s="19"/>
      <c r="PPH41" s="16"/>
      <c r="PPI41" s="18"/>
      <c r="PPJ41" s="13"/>
      <c r="PPK41" s="12"/>
      <c r="PPL41" s="18"/>
      <c r="PPM41" s="12"/>
      <c r="PPN41" s="19"/>
      <c r="PPO41" s="16"/>
      <c r="PPP41" s="18"/>
      <c r="PPQ41" s="13"/>
      <c r="PPR41" s="12"/>
      <c r="PPS41" s="18"/>
      <c r="PPT41" s="12"/>
      <c r="PPU41" s="19"/>
      <c r="PPV41" s="16"/>
      <c r="PPW41" s="18"/>
      <c r="PPX41" s="13"/>
      <c r="PPY41" s="12"/>
      <c r="PPZ41" s="18"/>
      <c r="PQA41" s="12"/>
      <c r="PQB41" s="19"/>
      <c r="PQC41" s="16"/>
      <c r="PQD41" s="18"/>
      <c r="PQE41" s="13"/>
      <c r="PQF41" s="12"/>
      <c r="PQG41" s="18"/>
      <c r="PQH41" s="12"/>
      <c r="PQI41" s="19"/>
      <c r="PQJ41" s="16"/>
      <c r="PQK41" s="18"/>
      <c r="PQL41" s="13"/>
      <c r="PQM41" s="12"/>
      <c r="PQN41" s="18"/>
      <c r="PQO41" s="12"/>
      <c r="PQP41" s="19"/>
      <c r="PQQ41" s="16"/>
      <c r="PQR41" s="18"/>
      <c r="PQS41" s="13"/>
      <c r="PQT41" s="12"/>
      <c r="PQU41" s="18"/>
      <c r="PQV41" s="12"/>
      <c r="PQW41" s="19"/>
      <c r="PQX41" s="16"/>
      <c r="PQY41" s="18"/>
      <c r="PQZ41" s="13"/>
      <c r="PRA41" s="12"/>
      <c r="PRB41" s="18"/>
      <c r="PRC41" s="12"/>
      <c r="PRD41" s="19"/>
      <c r="PRE41" s="16"/>
      <c r="PRF41" s="18"/>
      <c r="PRG41" s="13"/>
      <c r="PRH41" s="12"/>
      <c r="PRI41" s="18"/>
      <c r="PRJ41" s="12"/>
      <c r="PRK41" s="19"/>
      <c r="PRL41" s="16"/>
      <c r="PRM41" s="18"/>
      <c r="PRN41" s="13"/>
      <c r="PRO41" s="12"/>
      <c r="PRP41" s="18"/>
      <c r="PRQ41" s="12"/>
      <c r="PRR41" s="19"/>
      <c r="PRS41" s="16"/>
      <c r="PRT41" s="18"/>
      <c r="PRU41" s="13"/>
      <c r="PRV41" s="12"/>
      <c r="PRW41" s="18"/>
      <c r="PRX41" s="12"/>
      <c r="PRY41" s="19"/>
      <c r="PRZ41" s="16"/>
      <c r="PSA41" s="18"/>
      <c r="PSB41" s="13"/>
      <c r="PSC41" s="12"/>
      <c r="PSD41" s="18"/>
      <c r="PSE41" s="12"/>
      <c r="PSF41" s="19"/>
      <c r="PSG41" s="16"/>
      <c r="PSH41" s="18"/>
      <c r="PSI41" s="13"/>
      <c r="PSJ41" s="12"/>
      <c r="PSK41" s="18"/>
      <c r="PSL41" s="12"/>
      <c r="PSM41" s="19"/>
      <c r="PSN41" s="16"/>
      <c r="PSO41" s="18"/>
      <c r="PSP41" s="13"/>
      <c r="PSQ41" s="12"/>
      <c r="PSR41" s="18"/>
      <c r="PSS41" s="12"/>
      <c r="PST41" s="19"/>
      <c r="PSU41" s="16"/>
      <c r="PSV41" s="18"/>
      <c r="PSW41" s="13"/>
      <c r="PSX41" s="12"/>
      <c r="PSY41" s="18"/>
      <c r="PSZ41" s="12"/>
      <c r="PTA41" s="19"/>
      <c r="PTB41" s="16"/>
      <c r="PTC41" s="18"/>
      <c r="PTD41" s="13"/>
      <c r="PTE41" s="12"/>
      <c r="PTF41" s="18"/>
      <c r="PTG41" s="12"/>
      <c r="PTH41" s="19"/>
      <c r="PTI41" s="16"/>
      <c r="PTJ41" s="18"/>
      <c r="PTK41" s="13"/>
      <c r="PTL41" s="12"/>
      <c r="PTM41" s="18"/>
      <c r="PTN41" s="12"/>
      <c r="PTO41" s="19"/>
      <c r="PTP41" s="16"/>
      <c r="PTQ41" s="18"/>
      <c r="PTR41" s="13"/>
      <c r="PTS41" s="12"/>
      <c r="PTT41" s="18"/>
      <c r="PTU41" s="12"/>
      <c r="PTV41" s="19"/>
      <c r="PTW41" s="16"/>
      <c r="PTX41" s="18"/>
      <c r="PTY41" s="13"/>
      <c r="PTZ41" s="12"/>
      <c r="PUA41" s="18"/>
      <c r="PUB41" s="12"/>
      <c r="PUC41" s="19"/>
      <c r="PUD41" s="16"/>
      <c r="PUE41" s="18"/>
      <c r="PUF41" s="13"/>
      <c r="PUG41" s="12"/>
      <c r="PUH41" s="18"/>
      <c r="PUI41" s="12"/>
      <c r="PUJ41" s="19"/>
      <c r="PUK41" s="16"/>
      <c r="PUL41" s="18"/>
      <c r="PUM41" s="13"/>
      <c r="PUN41" s="12"/>
      <c r="PUO41" s="18"/>
      <c r="PUP41" s="12"/>
      <c r="PUQ41" s="19"/>
      <c r="PUR41" s="16"/>
      <c r="PUS41" s="18"/>
      <c r="PUT41" s="13"/>
      <c r="PUU41" s="12"/>
      <c r="PUV41" s="18"/>
      <c r="PUW41" s="12"/>
      <c r="PUX41" s="19"/>
      <c r="PUY41" s="16"/>
      <c r="PUZ41" s="18"/>
      <c r="PVA41" s="13"/>
      <c r="PVB41" s="12"/>
      <c r="PVC41" s="18"/>
      <c r="PVD41" s="12"/>
      <c r="PVE41" s="19"/>
      <c r="PVF41" s="16"/>
      <c r="PVG41" s="18"/>
      <c r="PVH41" s="13"/>
      <c r="PVI41" s="12"/>
      <c r="PVJ41" s="18"/>
      <c r="PVK41" s="12"/>
      <c r="PVL41" s="19"/>
      <c r="PVM41" s="16"/>
      <c r="PVN41" s="18"/>
      <c r="PVO41" s="13"/>
      <c r="PVP41" s="12"/>
      <c r="PVQ41" s="18"/>
      <c r="PVR41" s="12"/>
      <c r="PVS41" s="19"/>
      <c r="PVT41" s="16"/>
      <c r="PVU41" s="18"/>
      <c r="PVV41" s="13"/>
      <c r="PVW41" s="12"/>
      <c r="PVX41" s="18"/>
      <c r="PVY41" s="12"/>
      <c r="PVZ41" s="19"/>
      <c r="PWA41" s="16"/>
      <c r="PWB41" s="18"/>
      <c r="PWC41" s="13"/>
      <c r="PWD41" s="12"/>
      <c r="PWE41" s="18"/>
      <c r="PWF41" s="12"/>
      <c r="PWG41" s="19"/>
      <c r="PWH41" s="16"/>
      <c r="PWI41" s="18"/>
      <c r="PWJ41" s="13"/>
      <c r="PWK41" s="12"/>
      <c r="PWL41" s="18"/>
      <c r="PWM41" s="12"/>
      <c r="PWN41" s="19"/>
      <c r="PWO41" s="16"/>
      <c r="PWP41" s="18"/>
      <c r="PWQ41" s="13"/>
      <c r="PWR41" s="12"/>
      <c r="PWS41" s="18"/>
      <c r="PWT41" s="12"/>
      <c r="PWU41" s="19"/>
      <c r="PWV41" s="16"/>
      <c r="PWW41" s="18"/>
      <c r="PWX41" s="13"/>
      <c r="PWY41" s="12"/>
      <c r="PWZ41" s="18"/>
      <c r="PXA41" s="12"/>
      <c r="PXB41" s="19"/>
      <c r="PXC41" s="16"/>
      <c r="PXD41" s="18"/>
      <c r="PXE41" s="13"/>
      <c r="PXF41" s="12"/>
      <c r="PXG41" s="18"/>
      <c r="PXH41" s="12"/>
      <c r="PXI41" s="19"/>
      <c r="PXJ41" s="16"/>
      <c r="PXK41" s="18"/>
      <c r="PXL41" s="13"/>
      <c r="PXM41" s="12"/>
      <c r="PXN41" s="18"/>
      <c r="PXO41" s="12"/>
      <c r="PXP41" s="19"/>
      <c r="PXQ41" s="16"/>
      <c r="PXR41" s="18"/>
      <c r="PXS41" s="13"/>
      <c r="PXT41" s="12"/>
      <c r="PXU41" s="18"/>
      <c r="PXV41" s="12"/>
      <c r="PXW41" s="19"/>
      <c r="PXX41" s="16"/>
      <c r="PXY41" s="18"/>
      <c r="PXZ41" s="13"/>
      <c r="PYA41" s="12"/>
      <c r="PYB41" s="18"/>
      <c r="PYC41" s="12"/>
      <c r="PYD41" s="19"/>
      <c r="PYE41" s="16"/>
      <c r="PYF41" s="18"/>
      <c r="PYG41" s="13"/>
      <c r="PYH41" s="12"/>
      <c r="PYI41" s="18"/>
      <c r="PYJ41" s="12"/>
      <c r="PYK41" s="19"/>
      <c r="PYL41" s="16"/>
      <c r="PYM41" s="18"/>
      <c r="PYN41" s="13"/>
      <c r="PYO41" s="12"/>
      <c r="PYP41" s="18"/>
      <c r="PYQ41" s="12"/>
      <c r="PYR41" s="19"/>
      <c r="PYS41" s="16"/>
      <c r="PYT41" s="18"/>
      <c r="PYU41" s="13"/>
      <c r="PYV41" s="12"/>
      <c r="PYW41" s="18"/>
      <c r="PYX41" s="12"/>
      <c r="PYY41" s="19"/>
      <c r="PYZ41" s="16"/>
      <c r="PZA41" s="18"/>
      <c r="PZB41" s="13"/>
      <c r="PZC41" s="12"/>
      <c r="PZD41" s="18"/>
      <c r="PZE41" s="12"/>
      <c r="PZF41" s="19"/>
      <c r="PZG41" s="16"/>
      <c r="PZH41" s="18"/>
      <c r="PZI41" s="13"/>
      <c r="PZJ41" s="12"/>
      <c r="PZK41" s="18"/>
      <c r="PZL41" s="12"/>
      <c r="PZM41" s="19"/>
      <c r="PZN41" s="16"/>
      <c r="PZO41" s="18"/>
      <c r="PZP41" s="13"/>
      <c r="PZQ41" s="12"/>
      <c r="PZR41" s="18"/>
      <c r="PZS41" s="12"/>
      <c r="PZT41" s="19"/>
      <c r="PZU41" s="16"/>
      <c r="PZV41" s="18"/>
      <c r="PZW41" s="13"/>
      <c r="PZX41" s="12"/>
      <c r="PZY41" s="18"/>
      <c r="PZZ41" s="12"/>
      <c r="QAA41" s="19"/>
      <c r="QAB41" s="16"/>
      <c r="QAC41" s="18"/>
      <c r="QAD41" s="13"/>
      <c r="QAE41" s="12"/>
      <c r="QAF41" s="18"/>
      <c r="QAG41" s="12"/>
      <c r="QAH41" s="19"/>
      <c r="QAI41" s="16"/>
      <c r="QAJ41" s="18"/>
      <c r="QAK41" s="13"/>
      <c r="QAL41" s="12"/>
      <c r="QAM41" s="18"/>
      <c r="QAN41" s="12"/>
      <c r="QAO41" s="19"/>
      <c r="QAP41" s="16"/>
      <c r="QAQ41" s="18"/>
      <c r="QAR41" s="13"/>
      <c r="QAS41" s="12"/>
      <c r="QAT41" s="18"/>
      <c r="QAU41" s="12"/>
      <c r="QAV41" s="19"/>
      <c r="QAW41" s="16"/>
      <c r="QAX41" s="18"/>
      <c r="QAY41" s="13"/>
      <c r="QAZ41" s="12"/>
      <c r="QBA41" s="18"/>
      <c r="QBB41" s="12"/>
      <c r="QBC41" s="19"/>
      <c r="QBD41" s="16"/>
      <c r="QBE41" s="18"/>
      <c r="QBF41" s="13"/>
      <c r="QBG41" s="12"/>
      <c r="QBH41" s="18"/>
      <c r="QBI41" s="12"/>
      <c r="QBJ41" s="19"/>
      <c r="QBK41" s="16"/>
      <c r="QBL41" s="18"/>
      <c r="QBM41" s="13"/>
      <c r="QBN41" s="12"/>
      <c r="QBO41" s="18"/>
      <c r="QBP41" s="12"/>
      <c r="QBQ41" s="19"/>
      <c r="QBR41" s="16"/>
      <c r="QBS41" s="18"/>
      <c r="QBT41" s="13"/>
      <c r="QBU41" s="12"/>
      <c r="QBV41" s="18"/>
      <c r="QBW41" s="12"/>
      <c r="QBX41" s="19"/>
      <c r="QBY41" s="16"/>
      <c r="QBZ41" s="18"/>
      <c r="QCA41" s="13"/>
      <c r="QCB41" s="12"/>
      <c r="QCC41" s="18"/>
      <c r="QCD41" s="12"/>
      <c r="QCE41" s="19"/>
      <c r="QCF41" s="16"/>
      <c r="QCG41" s="18"/>
      <c r="QCH41" s="13"/>
      <c r="QCI41" s="12"/>
      <c r="QCJ41" s="18"/>
      <c r="QCK41" s="12"/>
      <c r="QCL41" s="19"/>
      <c r="QCM41" s="16"/>
      <c r="QCN41" s="18"/>
      <c r="QCO41" s="13"/>
      <c r="QCP41" s="12"/>
      <c r="QCQ41" s="18"/>
      <c r="QCR41" s="12"/>
      <c r="QCS41" s="19"/>
      <c r="QCT41" s="16"/>
      <c r="QCU41" s="18"/>
      <c r="QCV41" s="13"/>
      <c r="QCW41" s="12"/>
      <c r="QCX41" s="18"/>
      <c r="QCY41" s="12"/>
      <c r="QCZ41" s="19"/>
      <c r="QDA41" s="16"/>
      <c r="QDB41" s="18"/>
      <c r="QDC41" s="13"/>
      <c r="QDD41" s="12"/>
      <c r="QDE41" s="18"/>
      <c r="QDF41" s="12"/>
      <c r="QDG41" s="19"/>
      <c r="QDH41" s="16"/>
      <c r="QDI41" s="18"/>
      <c r="QDJ41" s="13"/>
      <c r="QDK41" s="12"/>
      <c r="QDL41" s="18"/>
      <c r="QDM41" s="12"/>
      <c r="QDN41" s="19"/>
      <c r="QDO41" s="16"/>
      <c r="QDP41" s="18"/>
      <c r="QDQ41" s="13"/>
      <c r="QDR41" s="12"/>
      <c r="QDS41" s="18"/>
      <c r="QDT41" s="12"/>
      <c r="QDU41" s="19"/>
      <c r="QDV41" s="16"/>
      <c r="QDW41" s="18"/>
      <c r="QDX41" s="13"/>
      <c r="QDY41" s="12"/>
      <c r="QDZ41" s="18"/>
      <c r="QEA41" s="12"/>
      <c r="QEB41" s="19"/>
      <c r="QEC41" s="16"/>
      <c r="QED41" s="18"/>
      <c r="QEE41" s="13"/>
      <c r="QEF41" s="12"/>
      <c r="QEG41" s="18"/>
      <c r="QEH41" s="12"/>
      <c r="QEI41" s="19"/>
      <c r="QEJ41" s="16"/>
      <c r="QEK41" s="18"/>
      <c r="QEL41" s="13"/>
      <c r="QEM41" s="12"/>
      <c r="QEN41" s="18"/>
      <c r="QEO41" s="12"/>
      <c r="QEP41" s="19"/>
      <c r="QEQ41" s="16"/>
      <c r="QER41" s="18"/>
      <c r="QES41" s="13"/>
      <c r="QET41" s="12"/>
      <c r="QEU41" s="18"/>
      <c r="QEV41" s="12"/>
      <c r="QEW41" s="19"/>
      <c r="QEX41" s="16"/>
      <c r="QEY41" s="18"/>
      <c r="QEZ41" s="13"/>
      <c r="QFA41" s="12"/>
      <c r="QFB41" s="18"/>
      <c r="QFC41" s="12"/>
      <c r="QFD41" s="19"/>
      <c r="QFE41" s="16"/>
      <c r="QFF41" s="18"/>
      <c r="QFG41" s="13"/>
      <c r="QFH41" s="12"/>
      <c r="QFI41" s="18"/>
      <c r="QFJ41" s="12"/>
      <c r="QFK41" s="19"/>
      <c r="QFL41" s="16"/>
      <c r="QFM41" s="18"/>
      <c r="QFN41" s="13"/>
      <c r="QFO41" s="12"/>
      <c r="QFP41" s="18"/>
      <c r="QFQ41" s="12"/>
      <c r="QFR41" s="19"/>
      <c r="QFS41" s="16"/>
      <c r="QFT41" s="18"/>
      <c r="QFU41" s="13"/>
      <c r="QFV41" s="12"/>
      <c r="QFW41" s="18"/>
      <c r="QFX41" s="12"/>
      <c r="QFY41" s="19"/>
      <c r="QFZ41" s="16"/>
      <c r="QGA41" s="18"/>
      <c r="QGB41" s="13"/>
      <c r="QGC41" s="12"/>
      <c r="QGD41" s="18"/>
      <c r="QGE41" s="12"/>
      <c r="QGF41" s="19"/>
      <c r="QGG41" s="16"/>
      <c r="QGH41" s="18"/>
      <c r="QGI41" s="13"/>
      <c r="QGJ41" s="12"/>
      <c r="QGK41" s="18"/>
      <c r="QGL41" s="12"/>
      <c r="QGM41" s="19"/>
      <c r="QGN41" s="16"/>
      <c r="QGO41" s="18"/>
      <c r="QGP41" s="13"/>
      <c r="QGQ41" s="12"/>
      <c r="QGR41" s="18"/>
      <c r="QGS41" s="12"/>
      <c r="QGT41" s="19"/>
      <c r="QGU41" s="16"/>
      <c r="QGV41" s="18"/>
      <c r="QGW41" s="13"/>
      <c r="QGX41" s="12"/>
      <c r="QGY41" s="18"/>
      <c r="QGZ41" s="12"/>
      <c r="QHA41" s="19"/>
      <c r="QHB41" s="16"/>
      <c r="QHC41" s="18"/>
      <c r="QHD41" s="13"/>
      <c r="QHE41" s="12"/>
      <c r="QHF41" s="18"/>
      <c r="QHG41" s="12"/>
      <c r="QHH41" s="19"/>
      <c r="QHI41" s="16"/>
      <c r="QHJ41" s="18"/>
      <c r="QHK41" s="13"/>
      <c r="QHL41" s="12"/>
      <c r="QHM41" s="18"/>
      <c r="QHN41" s="12"/>
      <c r="QHO41" s="19"/>
      <c r="QHP41" s="16"/>
      <c r="QHQ41" s="18"/>
      <c r="QHR41" s="13"/>
      <c r="QHS41" s="12"/>
      <c r="QHT41" s="18"/>
      <c r="QHU41" s="12"/>
      <c r="QHV41" s="19"/>
      <c r="QHW41" s="16"/>
      <c r="QHX41" s="18"/>
      <c r="QHY41" s="13"/>
      <c r="QHZ41" s="12"/>
      <c r="QIA41" s="18"/>
      <c r="QIB41" s="12"/>
      <c r="QIC41" s="19"/>
      <c r="QID41" s="16"/>
      <c r="QIE41" s="18"/>
      <c r="QIF41" s="13"/>
      <c r="QIG41" s="12"/>
      <c r="QIH41" s="18"/>
      <c r="QII41" s="12"/>
      <c r="QIJ41" s="19"/>
      <c r="QIK41" s="16"/>
      <c r="QIL41" s="18"/>
      <c r="QIM41" s="13"/>
      <c r="QIN41" s="12"/>
      <c r="QIO41" s="18"/>
      <c r="QIP41" s="12"/>
      <c r="QIQ41" s="19"/>
      <c r="QIR41" s="16"/>
      <c r="QIS41" s="18"/>
      <c r="QIT41" s="13"/>
      <c r="QIU41" s="12"/>
      <c r="QIV41" s="18"/>
      <c r="QIW41" s="12"/>
      <c r="QIX41" s="19"/>
      <c r="QIY41" s="16"/>
      <c r="QIZ41" s="18"/>
      <c r="QJA41" s="13"/>
      <c r="QJB41" s="12"/>
      <c r="QJC41" s="18"/>
      <c r="QJD41" s="12"/>
      <c r="QJE41" s="19"/>
      <c r="QJF41" s="16"/>
      <c r="QJG41" s="18"/>
      <c r="QJH41" s="13"/>
      <c r="QJI41" s="12"/>
      <c r="QJJ41" s="18"/>
      <c r="QJK41" s="12"/>
      <c r="QJL41" s="19"/>
      <c r="QJM41" s="16"/>
      <c r="QJN41" s="18"/>
      <c r="QJO41" s="13"/>
      <c r="QJP41" s="12"/>
      <c r="QJQ41" s="18"/>
      <c r="QJR41" s="12"/>
      <c r="QJS41" s="19"/>
      <c r="QJT41" s="16"/>
      <c r="QJU41" s="18"/>
      <c r="QJV41" s="13"/>
      <c r="QJW41" s="12"/>
      <c r="QJX41" s="18"/>
      <c r="QJY41" s="12"/>
      <c r="QJZ41" s="19"/>
      <c r="QKA41" s="16"/>
      <c r="QKB41" s="18"/>
      <c r="QKC41" s="13"/>
      <c r="QKD41" s="12"/>
      <c r="QKE41" s="18"/>
      <c r="QKF41" s="12"/>
      <c r="QKG41" s="19"/>
      <c r="QKH41" s="16"/>
      <c r="QKI41" s="18"/>
      <c r="QKJ41" s="13"/>
      <c r="QKK41" s="12"/>
      <c r="QKL41" s="18"/>
      <c r="QKM41" s="12"/>
      <c r="QKN41" s="19"/>
      <c r="QKO41" s="16"/>
      <c r="QKP41" s="18"/>
      <c r="QKQ41" s="13"/>
      <c r="QKR41" s="12"/>
      <c r="QKS41" s="18"/>
      <c r="QKT41" s="12"/>
      <c r="QKU41" s="19"/>
      <c r="QKV41" s="16"/>
      <c r="QKW41" s="18"/>
      <c r="QKX41" s="13"/>
      <c r="QKY41" s="12"/>
      <c r="QKZ41" s="18"/>
      <c r="QLA41" s="12"/>
      <c r="QLB41" s="19"/>
      <c r="QLC41" s="16"/>
      <c r="QLD41" s="18"/>
      <c r="QLE41" s="13"/>
      <c r="QLF41" s="12"/>
      <c r="QLG41" s="18"/>
      <c r="QLH41" s="12"/>
      <c r="QLI41" s="19"/>
      <c r="QLJ41" s="16"/>
      <c r="QLK41" s="18"/>
      <c r="QLL41" s="13"/>
      <c r="QLM41" s="12"/>
      <c r="QLN41" s="18"/>
      <c r="QLO41" s="12"/>
      <c r="QLP41" s="19"/>
      <c r="QLQ41" s="16"/>
      <c r="QLR41" s="18"/>
      <c r="QLS41" s="13"/>
      <c r="QLT41" s="12"/>
      <c r="QLU41" s="18"/>
      <c r="QLV41" s="12"/>
      <c r="QLW41" s="19"/>
      <c r="QLX41" s="16"/>
      <c r="QLY41" s="18"/>
      <c r="QLZ41" s="13"/>
      <c r="QMA41" s="12"/>
      <c r="QMB41" s="18"/>
      <c r="QMC41" s="12"/>
      <c r="QMD41" s="19"/>
      <c r="QME41" s="16"/>
      <c r="QMF41" s="18"/>
      <c r="QMG41" s="13"/>
      <c r="QMH41" s="12"/>
      <c r="QMI41" s="18"/>
      <c r="QMJ41" s="12"/>
      <c r="QMK41" s="19"/>
      <c r="QML41" s="16"/>
      <c r="QMM41" s="18"/>
      <c r="QMN41" s="13"/>
      <c r="QMO41" s="12"/>
      <c r="QMP41" s="18"/>
      <c r="QMQ41" s="12"/>
      <c r="QMR41" s="19"/>
      <c r="QMS41" s="16"/>
      <c r="QMT41" s="18"/>
      <c r="QMU41" s="13"/>
      <c r="QMV41" s="12"/>
      <c r="QMW41" s="18"/>
      <c r="QMX41" s="12"/>
      <c r="QMY41" s="19"/>
      <c r="QMZ41" s="16"/>
      <c r="QNA41" s="18"/>
      <c r="QNB41" s="13"/>
      <c r="QNC41" s="12"/>
      <c r="QND41" s="18"/>
      <c r="QNE41" s="12"/>
      <c r="QNF41" s="19"/>
      <c r="QNG41" s="16"/>
      <c r="QNH41" s="18"/>
      <c r="QNI41" s="13"/>
      <c r="QNJ41" s="12"/>
      <c r="QNK41" s="18"/>
      <c r="QNL41" s="12"/>
      <c r="QNM41" s="19"/>
      <c r="QNN41" s="16"/>
      <c r="QNO41" s="18"/>
      <c r="QNP41" s="13"/>
      <c r="QNQ41" s="12"/>
      <c r="QNR41" s="18"/>
      <c r="QNS41" s="12"/>
      <c r="QNT41" s="19"/>
      <c r="QNU41" s="16"/>
      <c r="QNV41" s="18"/>
      <c r="QNW41" s="13"/>
      <c r="QNX41" s="12"/>
      <c r="QNY41" s="18"/>
      <c r="QNZ41" s="12"/>
      <c r="QOA41" s="19"/>
      <c r="QOB41" s="16"/>
      <c r="QOC41" s="18"/>
      <c r="QOD41" s="13"/>
      <c r="QOE41" s="12"/>
      <c r="QOF41" s="18"/>
      <c r="QOG41" s="12"/>
      <c r="QOH41" s="19"/>
      <c r="QOI41" s="16"/>
      <c r="QOJ41" s="18"/>
      <c r="QOK41" s="13"/>
      <c r="QOL41" s="12"/>
      <c r="QOM41" s="18"/>
      <c r="QON41" s="12"/>
      <c r="QOO41" s="19"/>
      <c r="QOP41" s="16"/>
      <c r="QOQ41" s="18"/>
      <c r="QOR41" s="13"/>
      <c r="QOS41" s="12"/>
      <c r="QOT41" s="18"/>
      <c r="QOU41" s="12"/>
      <c r="QOV41" s="19"/>
      <c r="QOW41" s="16"/>
      <c r="QOX41" s="18"/>
      <c r="QOY41" s="13"/>
      <c r="QOZ41" s="12"/>
      <c r="QPA41" s="18"/>
      <c r="QPB41" s="12"/>
      <c r="QPC41" s="19"/>
      <c r="QPD41" s="16"/>
      <c r="QPE41" s="18"/>
      <c r="QPF41" s="13"/>
      <c r="QPG41" s="12"/>
      <c r="QPH41" s="18"/>
      <c r="QPI41" s="12"/>
      <c r="QPJ41" s="19"/>
      <c r="QPK41" s="16"/>
      <c r="QPL41" s="18"/>
      <c r="QPM41" s="13"/>
      <c r="QPN41" s="12"/>
      <c r="QPO41" s="18"/>
      <c r="QPP41" s="12"/>
      <c r="QPQ41" s="19"/>
      <c r="QPR41" s="16"/>
      <c r="QPS41" s="18"/>
      <c r="QPT41" s="13"/>
      <c r="QPU41" s="12"/>
      <c r="QPV41" s="18"/>
      <c r="QPW41" s="12"/>
      <c r="QPX41" s="19"/>
      <c r="QPY41" s="16"/>
      <c r="QPZ41" s="18"/>
      <c r="QQA41" s="13"/>
      <c r="QQB41" s="12"/>
      <c r="QQC41" s="18"/>
      <c r="QQD41" s="12"/>
      <c r="QQE41" s="19"/>
      <c r="QQF41" s="16"/>
      <c r="QQG41" s="18"/>
      <c r="QQH41" s="13"/>
      <c r="QQI41" s="12"/>
      <c r="QQJ41" s="18"/>
      <c r="QQK41" s="12"/>
      <c r="QQL41" s="19"/>
      <c r="QQM41" s="16"/>
      <c r="QQN41" s="18"/>
      <c r="QQO41" s="13"/>
      <c r="QQP41" s="12"/>
      <c r="QQQ41" s="18"/>
      <c r="QQR41" s="12"/>
      <c r="QQS41" s="19"/>
      <c r="QQT41" s="16"/>
      <c r="QQU41" s="18"/>
      <c r="QQV41" s="13"/>
      <c r="QQW41" s="12"/>
      <c r="QQX41" s="18"/>
      <c r="QQY41" s="12"/>
      <c r="QQZ41" s="19"/>
      <c r="QRA41" s="16"/>
      <c r="QRB41" s="18"/>
      <c r="QRC41" s="13"/>
      <c r="QRD41" s="12"/>
      <c r="QRE41" s="18"/>
      <c r="QRF41" s="12"/>
      <c r="QRG41" s="19"/>
      <c r="QRH41" s="16"/>
      <c r="QRI41" s="18"/>
      <c r="QRJ41" s="13"/>
      <c r="QRK41" s="12"/>
      <c r="QRL41" s="18"/>
      <c r="QRM41" s="12"/>
      <c r="QRN41" s="19"/>
      <c r="QRO41" s="16"/>
      <c r="QRP41" s="18"/>
      <c r="QRQ41" s="13"/>
      <c r="QRR41" s="12"/>
      <c r="QRS41" s="18"/>
      <c r="QRT41" s="12"/>
      <c r="QRU41" s="19"/>
      <c r="QRV41" s="16"/>
      <c r="QRW41" s="18"/>
      <c r="QRX41" s="13"/>
      <c r="QRY41" s="12"/>
      <c r="QRZ41" s="18"/>
      <c r="QSA41" s="12"/>
      <c r="QSB41" s="19"/>
      <c r="QSC41" s="16"/>
      <c r="QSD41" s="18"/>
      <c r="QSE41" s="13"/>
      <c r="QSF41" s="12"/>
      <c r="QSG41" s="18"/>
      <c r="QSH41" s="12"/>
      <c r="QSI41" s="19"/>
      <c r="QSJ41" s="16"/>
      <c r="QSK41" s="18"/>
      <c r="QSL41" s="13"/>
      <c r="QSM41" s="12"/>
      <c r="QSN41" s="18"/>
      <c r="QSO41" s="12"/>
      <c r="QSP41" s="19"/>
      <c r="QSQ41" s="16"/>
      <c r="QSR41" s="18"/>
      <c r="QSS41" s="13"/>
      <c r="QST41" s="12"/>
      <c r="QSU41" s="18"/>
      <c r="QSV41" s="12"/>
      <c r="QSW41" s="19"/>
      <c r="QSX41" s="16"/>
      <c r="QSY41" s="18"/>
      <c r="QSZ41" s="13"/>
      <c r="QTA41" s="12"/>
      <c r="QTB41" s="18"/>
      <c r="QTC41" s="12"/>
      <c r="QTD41" s="19"/>
      <c r="QTE41" s="16"/>
      <c r="QTF41" s="18"/>
      <c r="QTG41" s="13"/>
      <c r="QTH41" s="12"/>
      <c r="QTI41" s="18"/>
      <c r="QTJ41" s="12"/>
      <c r="QTK41" s="19"/>
      <c r="QTL41" s="16"/>
      <c r="QTM41" s="18"/>
      <c r="QTN41" s="13"/>
      <c r="QTO41" s="12"/>
      <c r="QTP41" s="18"/>
      <c r="QTQ41" s="12"/>
      <c r="QTR41" s="19"/>
      <c r="QTS41" s="16"/>
      <c r="QTT41" s="18"/>
      <c r="QTU41" s="13"/>
      <c r="QTV41" s="12"/>
      <c r="QTW41" s="18"/>
      <c r="QTX41" s="12"/>
      <c r="QTY41" s="19"/>
      <c r="QTZ41" s="16"/>
      <c r="QUA41" s="18"/>
      <c r="QUB41" s="13"/>
      <c r="QUC41" s="12"/>
      <c r="QUD41" s="18"/>
      <c r="QUE41" s="12"/>
      <c r="QUF41" s="19"/>
      <c r="QUG41" s="16"/>
      <c r="QUH41" s="18"/>
      <c r="QUI41" s="13"/>
      <c r="QUJ41" s="12"/>
      <c r="QUK41" s="18"/>
      <c r="QUL41" s="12"/>
      <c r="QUM41" s="19"/>
      <c r="QUN41" s="16"/>
      <c r="QUO41" s="18"/>
      <c r="QUP41" s="13"/>
      <c r="QUQ41" s="12"/>
      <c r="QUR41" s="18"/>
      <c r="QUS41" s="12"/>
      <c r="QUT41" s="19"/>
      <c r="QUU41" s="16"/>
      <c r="QUV41" s="18"/>
      <c r="QUW41" s="13"/>
      <c r="QUX41" s="12"/>
      <c r="QUY41" s="18"/>
      <c r="QUZ41" s="12"/>
      <c r="QVA41" s="19"/>
      <c r="QVB41" s="16"/>
      <c r="QVC41" s="18"/>
      <c r="QVD41" s="13"/>
      <c r="QVE41" s="12"/>
      <c r="QVF41" s="18"/>
      <c r="QVG41" s="12"/>
      <c r="QVH41" s="19"/>
      <c r="QVI41" s="16"/>
      <c r="QVJ41" s="18"/>
      <c r="QVK41" s="13"/>
      <c r="QVL41" s="12"/>
      <c r="QVM41" s="18"/>
      <c r="QVN41" s="12"/>
      <c r="QVO41" s="19"/>
      <c r="QVP41" s="16"/>
      <c r="QVQ41" s="18"/>
      <c r="QVR41" s="13"/>
      <c r="QVS41" s="12"/>
      <c r="QVT41" s="18"/>
      <c r="QVU41" s="12"/>
      <c r="QVV41" s="19"/>
      <c r="QVW41" s="16"/>
      <c r="QVX41" s="18"/>
      <c r="QVY41" s="13"/>
      <c r="QVZ41" s="12"/>
      <c r="QWA41" s="18"/>
      <c r="QWB41" s="12"/>
      <c r="QWC41" s="19"/>
      <c r="QWD41" s="16"/>
      <c r="QWE41" s="18"/>
      <c r="QWF41" s="13"/>
      <c r="QWG41" s="12"/>
      <c r="QWH41" s="18"/>
      <c r="QWI41" s="12"/>
      <c r="QWJ41" s="19"/>
      <c r="QWK41" s="16"/>
      <c r="QWL41" s="18"/>
      <c r="QWM41" s="13"/>
      <c r="QWN41" s="12"/>
      <c r="QWO41" s="18"/>
      <c r="QWP41" s="12"/>
      <c r="QWQ41" s="19"/>
      <c r="QWR41" s="16"/>
      <c r="QWS41" s="18"/>
      <c r="QWT41" s="13"/>
      <c r="QWU41" s="12"/>
      <c r="QWV41" s="18"/>
      <c r="QWW41" s="12"/>
      <c r="QWX41" s="19"/>
      <c r="QWY41" s="16"/>
      <c r="QWZ41" s="18"/>
      <c r="QXA41" s="13"/>
      <c r="QXB41" s="12"/>
      <c r="QXC41" s="18"/>
      <c r="QXD41" s="12"/>
      <c r="QXE41" s="19"/>
      <c r="QXF41" s="16"/>
      <c r="QXG41" s="18"/>
      <c r="QXH41" s="13"/>
      <c r="QXI41" s="12"/>
      <c r="QXJ41" s="18"/>
      <c r="QXK41" s="12"/>
      <c r="QXL41" s="19"/>
      <c r="QXM41" s="16"/>
      <c r="QXN41" s="18"/>
      <c r="QXO41" s="13"/>
      <c r="QXP41" s="12"/>
      <c r="QXQ41" s="18"/>
      <c r="QXR41" s="12"/>
      <c r="QXS41" s="19"/>
      <c r="QXT41" s="16"/>
      <c r="QXU41" s="18"/>
      <c r="QXV41" s="13"/>
      <c r="QXW41" s="12"/>
      <c r="QXX41" s="18"/>
      <c r="QXY41" s="12"/>
      <c r="QXZ41" s="19"/>
      <c r="QYA41" s="16"/>
      <c r="QYB41" s="18"/>
      <c r="QYC41" s="13"/>
      <c r="QYD41" s="12"/>
      <c r="QYE41" s="18"/>
      <c r="QYF41" s="12"/>
      <c r="QYG41" s="19"/>
      <c r="QYH41" s="16"/>
      <c r="QYI41" s="18"/>
      <c r="QYJ41" s="13"/>
      <c r="QYK41" s="12"/>
      <c r="QYL41" s="18"/>
      <c r="QYM41" s="12"/>
      <c r="QYN41" s="19"/>
      <c r="QYO41" s="16"/>
      <c r="QYP41" s="18"/>
      <c r="QYQ41" s="13"/>
      <c r="QYR41" s="12"/>
      <c r="QYS41" s="18"/>
      <c r="QYT41" s="12"/>
      <c r="QYU41" s="19"/>
      <c r="QYV41" s="16"/>
      <c r="QYW41" s="18"/>
      <c r="QYX41" s="13"/>
      <c r="QYY41" s="12"/>
      <c r="QYZ41" s="18"/>
      <c r="QZA41" s="12"/>
      <c r="QZB41" s="19"/>
      <c r="QZC41" s="16"/>
      <c r="QZD41" s="18"/>
      <c r="QZE41" s="13"/>
      <c r="QZF41" s="12"/>
      <c r="QZG41" s="18"/>
      <c r="QZH41" s="12"/>
      <c r="QZI41" s="19"/>
      <c r="QZJ41" s="16"/>
      <c r="QZK41" s="18"/>
      <c r="QZL41" s="13"/>
      <c r="QZM41" s="12"/>
      <c r="QZN41" s="18"/>
      <c r="QZO41" s="12"/>
      <c r="QZP41" s="19"/>
      <c r="QZQ41" s="16"/>
      <c r="QZR41" s="18"/>
      <c r="QZS41" s="13"/>
      <c r="QZT41" s="12"/>
      <c r="QZU41" s="18"/>
      <c r="QZV41" s="12"/>
      <c r="QZW41" s="19"/>
      <c r="QZX41" s="16"/>
      <c r="QZY41" s="18"/>
      <c r="QZZ41" s="13"/>
      <c r="RAA41" s="12"/>
      <c r="RAB41" s="18"/>
      <c r="RAC41" s="12"/>
      <c r="RAD41" s="19"/>
      <c r="RAE41" s="16"/>
      <c r="RAF41" s="18"/>
      <c r="RAG41" s="13"/>
      <c r="RAH41" s="12"/>
      <c r="RAI41" s="18"/>
      <c r="RAJ41" s="12"/>
      <c r="RAK41" s="19"/>
      <c r="RAL41" s="16"/>
      <c r="RAM41" s="18"/>
      <c r="RAN41" s="13"/>
      <c r="RAO41" s="12"/>
      <c r="RAP41" s="18"/>
      <c r="RAQ41" s="12"/>
      <c r="RAR41" s="19"/>
      <c r="RAS41" s="16"/>
      <c r="RAT41" s="18"/>
      <c r="RAU41" s="13"/>
      <c r="RAV41" s="12"/>
      <c r="RAW41" s="18"/>
      <c r="RAX41" s="12"/>
      <c r="RAY41" s="19"/>
      <c r="RAZ41" s="16"/>
      <c r="RBA41" s="18"/>
      <c r="RBB41" s="13"/>
      <c r="RBC41" s="12"/>
      <c r="RBD41" s="18"/>
      <c r="RBE41" s="12"/>
      <c r="RBF41" s="19"/>
      <c r="RBG41" s="16"/>
      <c r="RBH41" s="18"/>
      <c r="RBI41" s="13"/>
      <c r="RBJ41" s="12"/>
      <c r="RBK41" s="18"/>
      <c r="RBL41" s="12"/>
      <c r="RBM41" s="19"/>
      <c r="RBN41" s="16"/>
      <c r="RBO41" s="18"/>
      <c r="RBP41" s="13"/>
      <c r="RBQ41" s="12"/>
      <c r="RBR41" s="18"/>
      <c r="RBS41" s="12"/>
      <c r="RBT41" s="19"/>
      <c r="RBU41" s="16"/>
      <c r="RBV41" s="18"/>
      <c r="RBW41" s="13"/>
      <c r="RBX41" s="12"/>
      <c r="RBY41" s="18"/>
      <c r="RBZ41" s="12"/>
      <c r="RCA41" s="19"/>
      <c r="RCB41" s="16"/>
      <c r="RCC41" s="18"/>
      <c r="RCD41" s="13"/>
      <c r="RCE41" s="12"/>
      <c r="RCF41" s="18"/>
      <c r="RCG41" s="12"/>
      <c r="RCH41" s="19"/>
      <c r="RCI41" s="16"/>
      <c r="RCJ41" s="18"/>
      <c r="RCK41" s="13"/>
      <c r="RCL41" s="12"/>
      <c r="RCM41" s="18"/>
      <c r="RCN41" s="12"/>
      <c r="RCO41" s="19"/>
      <c r="RCP41" s="16"/>
      <c r="RCQ41" s="18"/>
      <c r="RCR41" s="13"/>
      <c r="RCS41" s="12"/>
      <c r="RCT41" s="18"/>
      <c r="RCU41" s="12"/>
      <c r="RCV41" s="19"/>
      <c r="RCW41" s="16"/>
      <c r="RCX41" s="18"/>
      <c r="RCY41" s="13"/>
      <c r="RCZ41" s="12"/>
      <c r="RDA41" s="18"/>
      <c r="RDB41" s="12"/>
      <c r="RDC41" s="19"/>
      <c r="RDD41" s="16"/>
      <c r="RDE41" s="18"/>
      <c r="RDF41" s="13"/>
      <c r="RDG41" s="12"/>
      <c r="RDH41" s="18"/>
      <c r="RDI41" s="12"/>
      <c r="RDJ41" s="19"/>
      <c r="RDK41" s="16"/>
      <c r="RDL41" s="18"/>
      <c r="RDM41" s="13"/>
      <c r="RDN41" s="12"/>
      <c r="RDO41" s="18"/>
      <c r="RDP41" s="12"/>
      <c r="RDQ41" s="19"/>
      <c r="RDR41" s="16"/>
      <c r="RDS41" s="18"/>
      <c r="RDT41" s="13"/>
      <c r="RDU41" s="12"/>
      <c r="RDV41" s="18"/>
      <c r="RDW41" s="12"/>
      <c r="RDX41" s="19"/>
      <c r="RDY41" s="16"/>
      <c r="RDZ41" s="18"/>
      <c r="REA41" s="13"/>
      <c r="REB41" s="12"/>
      <c r="REC41" s="18"/>
      <c r="RED41" s="12"/>
      <c r="REE41" s="19"/>
      <c r="REF41" s="16"/>
      <c r="REG41" s="18"/>
      <c r="REH41" s="13"/>
      <c r="REI41" s="12"/>
      <c r="REJ41" s="18"/>
      <c r="REK41" s="12"/>
      <c r="REL41" s="19"/>
      <c r="REM41" s="16"/>
      <c r="REN41" s="18"/>
      <c r="REO41" s="13"/>
      <c r="REP41" s="12"/>
      <c r="REQ41" s="18"/>
      <c r="RER41" s="12"/>
      <c r="RES41" s="19"/>
      <c r="RET41" s="16"/>
      <c r="REU41" s="18"/>
      <c r="REV41" s="13"/>
      <c r="REW41" s="12"/>
      <c r="REX41" s="18"/>
      <c r="REY41" s="12"/>
      <c r="REZ41" s="19"/>
      <c r="RFA41" s="16"/>
      <c r="RFB41" s="18"/>
      <c r="RFC41" s="13"/>
      <c r="RFD41" s="12"/>
      <c r="RFE41" s="18"/>
      <c r="RFF41" s="12"/>
      <c r="RFG41" s="19"/>
      <c r="RFH41" s="16"/>
      <c r="RFI41" s="18"/>
      <c r="RFJ41" s="13"/>
      <c r="RFK41" s="12"/>
      <c r="RFL41" s="18"/>
      <c r="RFM41" s="12"/>
      <c r="RFN41" s="19"/>
      <c r="RFO41" s="16"/>
      <c r="RFP41" s="18"/>
      <c r="RFQ41" s="13"/>
      <c r="RFR41" s="12"/>
      <c r="RFS41" s="18"/>
      <c r="RFT41" s="12"/>
      <c r="RFU41" s="19"/>
      <c r="RFV41" s="16"/>
      <c r="RFW41" s="18"/>
      <c r="RFX41" s="13"/>
      <c r="RFY41" s="12"/>
      <c r="RFZ41" s="18"/>
      <c r="RGA41" s="12"/>
      <c r="RGB41" s="19"/>
      <c r="RGC41" s="16"/>
      <c r="RGD41" s="18"/>
      <c r="RGE41" s="13"/>
      <c r="RGF41" s="12"/>
      <c r="RGG41" s="18"/>
      <c r="RGH41" s="12"/>
      <c r="RGI41" s="19"/>
      <c r="RGJ41" s="16"/>
      <c r="RGK41" s="18"/>
      <c r="RGL41" s="13"/>
      <c r="RGM41" s="12"/>
      <c r="RGN41" s="18"/>
      <c r="RGO41" s="12"/>
      <c r="RGP41" s="19"/>
      <c r="RGQ41" s="16"/>
      <c r="RGR41" s="18"/>
      <c r="RGS41" s="13"/>
      <c r="RGT41" s="12"/>
      <c r="RGU41" s="18"/>
      <c r="RGV41" s="12"/>
      <c r="RGW41" s="19"/>
      <c r="RGX41" s="16"/>
      <c r="RGY41" s="18"/>
      <c r="RGZ41" s="13"/>
      <c r="RHA41" s="12"/>
      <c r="RHB41" s="18"/>
      <c r="RHC41" s="12"/>
      <c r="RHD41" s="19"/>
      <c r="RHE41" s="16"/>
      <c r="RHF41" s="18"/>
      <c r="RHG41" s="13"/>
      <c r="RHH41" s="12"/>
      <c r="RHI41" s="18"/>
      <c r="RHJ41" s="12"/>
      <c r="RHK41" s="19"/>
      <c r="RHL41" s="16"/>
      <c r="RHM41" s="18"/>
      <c r="RHN41" s="13"/>
      <c r="RHO41" s="12"/>
      <c r="RHP41" s="18"/>
      <c r="RHQ41" s="12"/>
      <c r="RHR41" s="19"/>
      <c r="RHS41" s="16"/>
      <c r="RHT41" s="18"/>
      <c r="RHU41" s="13"/>
      <c r="RHV41" s="12"/>
      <c r="RHW41" s="18"/>
      <c r="RHX41" s="12"/>
      <c r="RHY41" s="19"/>
      <c r="RHZ41" s="16"/>
      <c r="RIA41" s="18"/>
      <c r="RIB41" s="13"/>
      <c r="RIC41" s="12"/>
      <c r="RID41" s="18"/>
      <c r="RIE41" s="12"/>
      <c r="RIF41" s="19"/>
      <c r="RIG41" s="16"/>
      <c r="RIH41" s="18"/>
      <c r="RII41" s="13"/>
      <c r="RIJ41" s="12"/>
      <c r="RIK41" s="18"/>
      <c r="RIL41" s="12"/>
      <c r="RIM41" s="19"/>
      <c r="RIN41" s="16"/>
      <c r="RIO41" s="18"/>
      <c r="RIP41" s="13"/>
      <c r="RIQ41" s="12"/>
      <c r="RIR41" s="18"/>
      <c r="RIS41" s="12"/>
      <c r="RIT41" s="19"/>
      <c r="RIU41" s="16"/>
      <c r="RIV41" s="18"/>
      <c r="RIW41" s="13"/>
      <c r="RIX41" s="12"/>
      <c r="RIY41" s="18"/>
      <c r="RIZ41" s="12"/>
      <c r="RJA41" s="19"/>
      <c r="RJB41" s="16"/>
      <c r="RJC41" s="18"/>
      <c r="RJD41" s="13"/>
      <c r="RJE41" s="12"/>
      <c r="RJF41" s="18"/>
      <c r="RJG41" s="12"/>
      <c r="RJH41" s="19"/>
      <c r="RJI41" s="16"/>
      <c r="RJJ41" s="18"/>
      <c r="RJK41" s="13"/>
      <c r="RJL41" s="12"/>
      <c r="RJM41" s="18"/>
      <c r="RJN41" s="12"/>
      <c r="RJO41" s="19"/>
      <c r="RJP41" s="16"/>
      <c r="RJQ41" s="18"/>
      <c r="RJR41" s="13"/>
      <c r="RJS41" s="12"/>
      <c r="RJT41" s="18"/>
      <c r="RJU41" s="12"/>
      <c r="RJV41" s="19"/>
      <c r="RJW41" s="16"/>
      <c r="RJX41" s="18"/>
      <c r="RJY41" s="13"/>
      <c r="RJZ41" s="12"/>
      <c r="RKA41" s="18"/>
      <c r="RKB41" s="12"/>
      <c r="RKC41" s="19"/>
      <c r="RKD41" s="16"/>
      <c r="RKE41" s="18"/>
      <c r="RKF41" s="13"/>
      <c r="RKG41" s="12"/>
      <c r="RKH41" s="18"/>
      <c r="RKI41" s="12"/>
      <c r="RKJ41" s="19"/>
      <c r="RKK41" s="16"/>
      <c r="RKL41" s="18"/>
      <c r="RKM41" s="13"/>
      <c r="RKN41" s="12"/>
      <c r="RKO41" s="18"/>
      <c r="RKP41" s="12"/>
      <c r="RKQ41" s="19"/>
      <c r="RKR41" s="16"/>
      <c r="RKS41" s="18"/>
      <c r="RKT41" s="13"/>
      <c r="RKU41" s="12"/>
      <c r="RKV41" s="18"/>
      <c r="RKW41" s="12"/>
      <c r="RKX41" s="19"/>
      <c r="RKY41" s="16"/>
      <c r="RKZ41" s="18"/>
      <c r="RLA41" s="13"/>
      <c r="RLB41" s="12"/>
      <c r="RLC41" s="18"/>
      <c r="RLD41" s="12"/>
      <c r="RLE41" s="19"/>
      <c r="RLF41" s="16"/>
      <c r="RLG41" s="18"/>
      <c r="RLH41" s="13"/>
      <c r="RLI41" s="12"/>
      <c r="RLJ41" s="18"/>
      <c r="RLK41" s="12"/>
      <c r="RLL41" s="19"/>
      <c r="RLM41" s="16"/>
      <c r="RLN41" s="18"/>
      <c r="RLO41" s="13"/>
      <c r="RLP41" s="12"/>
      <c r="RLQ41" s="18"/>
      <c r="RLR41" s="12"/>
      <c r="RLS41" s="19"/>
      <c r="RLT41" s="16"/>
      <c r="RLU41" s="18"/>
      <c r="RLV41" s="13"/>
      <c r="RLW41" s="12"/>
      <c r="RLX41" s="18"/>
      <c r="RLY41" s="12"/>
      <c r="RLZ41" s="19"/>
      <c r="RMA41" s="16"/>
      <c r="RMB41" s="18"/>
      <c r="RMC41" s="13"/>
      <c r="RMD41" s="12"/>
      <c r="RME41" s="18"/>
      <c r="RMF41" s="12"/>
      <c r="RMG41" s="19"/>
      <c r="RMH41" s="16"/>
      <c r="RMI41" s="18"/>
      <c r="RMJ41" s="13"/>
      <c r="RMK41" s="12"/>
      <c r="RML41" s="18"/>
      <c r="RMM41" s="12"/>
      <c r="RMN41" s="19"/>
      <c r="RMO41" s="16"/>
      <c r="RMP41" s="18"/>
      <c r="RMQ41" s="13"/>
      <c r="RMR41" s="12"/>
      <c r="RMS41" s="18"/>
      <c r="RMT41" s="12"/>
      <c r="RMU41" s="19"/>
      <c r="RMV41" s="16"/>
      <c r="RMW41" s="18"/>
      <c r="RMX41" s="13"/>
      <c r="RMY41" s="12"/>
      <c r="RMZ41" s="18"/>
      <c r="RNA41" s="12"/>
      <c r="RNB41" s="19"/>
      <c r="RNC41" s="16"/>
      <c r="RND41" s="18"/>
      <c r="RNE41" s="13"/>
      <c r="RNF41" s="12"/>
      <c r="RNG41" s="18"/>
      <c r="RNH41" s="12"/>
      <c r="RNI41" s="19"/>
      <c r="RNJ41" s="16"/>
      <c r="RNK41" s="18"/>
      <c r="RNL41" s="13"/>
      <c r="RNM41" s="12"/>
      <c r="RNN41" s="18"/>
      <c r="RNO41" s="12"/>
      <c r="RNP41" s="19"/>
      <c r="RNQ41" s="16"/>
      <c r="RNR41" s="18"/>
      <c r="RNS41" s="13"/>
      <c r="RNT41" s="12"/>
      <c r="RNU41" s="18"/>
      <c r="RNV41" s="12"/>
      <c r="RNW41" s="19"/>
      <c r="RNX41" s="16"/>
      <c r="RNY41" s="18"/>
      <c r="RNZ41" s="13"/>
      <c r="ROA41" s="12"/>
      <c r="ROB41" s="18"/>
      <c r="ROC41" s="12"/>
      <c r="ROD41" s="19"/>
      <c r="ROE41" s="16"/>
      <c r="ROF41" s="18"/>
      <c r="ROG41" s="13"/>
      <c r="ROH41" s="12"/>
      <c r="ROI41" s="18"/>
      <c r="ROJ41" s="12"/>
      <c r="ROK41" s="19"/>
      <c r="ROL41" s="16"/>
      <c r="ROM41" s="18"/>
      <c r="RON41" s="13"/>
      <c r="ROO41" s="12"/>
      <c r="ROP41" s="18"/>
      <c r="ROQ41" s="12"/>
      <c r="ROR41" s="19"/>
      <c r="ROS41" s="16"/>
      <c r="ROT41" s="18"/>
      <c r="ROU41" s="13"/>
      <c r="ROV41" s="12"/>
      <c r="ROW41" s="18"/>
      <c r="ROX41" s="12"/>
      <c r="ROY41" s="19"/>
      <c r="ROZ41" s="16"/>
      <c r="RPA41" s="18"/>
      <c r="RPB41" s="13"/>
      <c r="RPC41" s="12"/>
      <c r="RPD41" s="18"/>
      <c r="RPE41" s="12"/>
      <c r="RPF41" s="19"/>
      <c r="RPG41" s="16"/>
      <c r="RPH41" s="18"/>
      <c r="RPI41" s="13"/>
      <c r="RPJ41" s="12"/>
      <c r="RPK41" s="18"/>
      <c r="RPL41" s="12"/>
      <c r="RPM41" s="19"/>
      <c r="RPN41" s="16"/>
      <c r="RPO41" s="18"/>
      <c r="RPP41" s="13"/>
      <c r="RPQ41" s="12"/>
      <c r="RPR41" s="18"/>
      <c r="RPS41" s="12"/>
      <c r="RPT41" s="19"/>
      <c r="RPU41" s="16"/>
      <c r="RPV41" s="18"/>
      <c r="RPW41" s="13"/>
      <c r="RPX41" s="12"/>
      <c r="RPY41" s="18"/>
      <c r="RPZ41" s="12"/>
      <c r="RQA41" s="19"/>
      <c r="RQB41" s="16"/>
      <c r="RQC41" s="18"/>
      <c r="RQD41" s="13"/>
      <c r="RQE41" s="12"/>
      <c r="RQF41" s="18"/>
      <c r="RQG41" s="12"/>
      <c r="RQH41" s="19"/>
      <c r="RQI41" s="16"/>
      <c r="RQJ41" s="18"/>
      <c r="RQK41" s="13"/>
      <c r="RQL41" s="12"/>
      <c r="RQM41" s="18"/>
      <c r="RQN41" s="12"/>
      <c r="RQO41" s="19"/>
      <c r="RQP41" s="16"/>
      <c r="RQQ41" s="18"/>
      <c r="RQR41" s="13"/>
      <c r="RQS41" s="12"/>
      <c r="RQT41" s="18"/>
      <c r="RQU41" s="12"/>
      <c r="RQV41" s="19"/>
      <c r="RQW41" s="16"/>
      <c r="RQX41" s="18"/>
      <c r="RQY41" s="13"/>
      <c r="RQZ41" s="12"/>
      <c r="RRA41" s="18"/>
      <c r="RRB41" s="12"/>
      <c r="RRC41" s="19"/>
      <c r="RRD41" s="16"/>
      <c r="RRE41" s="18"/>
      <c r="RRF41" s="13"/>
      <c r="RRG41" s="12"/>
      <c r="RRH41" s="18"/>
      <c r="RRI41" s="12"/>
      <c r="RRJ41" s="19"/>
      <c r="RRK41" s="16"/>
      <c r="RRL41" s="18"/>
      <c r="RRM41" s="13"/>
      <c r="RRN41" s="12"/>
      <c r="RRO41" s="18"/>
      <c r="RRP41" s="12"/>
      <c r="RRQ41" s="19"/>
      <c r="RRR41" s="16"/>
      <c r="RRS41" s="18"/>
      <c r="RRT41" s="13"/>
      <c r="RRU41" s="12"/>
      <c r="RRV41" s="18"/>
      <c r="RRW41" s="12"/>
      <c r="RRX41" s="19"/>
      <c r="RRY41" s="16"/>
      <c r="RRZ41" s="18"/>
      <c r="RSA41" s="13"/>
      <c r="RSB41" s="12"/>
      <c r="RSC41" s="18"/>
      <c r="RSD41" s="12"/>
      <c r="RSE41" s="19"/>
      <c r="RSF41" s="16"/>
      <c r="RSG41" s="18"/>
      <c r="RSH41" s="13"/>
      <c r="RSI41" s="12"/>
      <c r="RSJ41" s="18"/>
      <c r="RSK41" s="12"/>
      <c r="RSL41" s="19"/>
      <c r="RSM41" s="16"/>
      <c r="RSN41" s="18"/>
      <c r="RSO41" s="13"/>
      <c r="RSP41" s="12"/>
      <c r="RSQ41" s="18"/>
      <c r="RSR41" s="12"/>
      <c r="RSS41" s="19"/>
      <c r="RST41" s="16"/>
      <c r="RSU41" s="18"/>
      <c r="RSV41" s="13"/>
      <c r="RSW41" s="12"/>
      <c r="RSX41" s="18"/>
      <c r="RSY41" s="12"/>
      <c r="RSZ41" s="19"/>
      <c r="RTA41" s="16"/>
      <c r="RTB41" s="18"/>
      <c r="RTC41" s="13"/>
      <c r="RTD41" s="12"/>
      <c r="RTE41" s="18"/>
      <c r="RTF41" s="12"/>
      <c r="RTG41" s="19"/>
      <c r="RTH41" s="16"/>
      <c r="RTI41" s="18"/>
      <c r="RTJ41" s="13"/>
      <c r="RTK41" s="12"/>
      <c r="RTL41" s="18"/>
      <c r="RTM41" s="12"/>
      <c r="RTN41" s="19"/>
      <c r="RTO41" s="16"/>
      <c r="RTP41" s="18"/>
      <c r="RTQ41" s="13"/>
      <c r="RTR41" s="12"/>
      <c r="RTS41" s="18"/>
      <c r="RTT41" s="12"/>
      <c r="RTU41" s="19"/>
      <c r="RTV41" s="16"/>
      <c r="RTW41" s="18"/>
      <c r="RTX41" s="13"/>
      <c r="RTY41" s="12"/>
      <c r="RTZ41" s="18"/>
      <c r="RUA41" s="12"/>
      <c r="RUB41" s="19"/>
      <c r="RUC41" s="16"/>
      <c r="RUD41" s="18"/>
      <c r="RUE41" s="13"/>
      <c r="RUF41" s="12"/>
      <c r="RUG41" s="18"/>
      <c r="RUH41" s="12"/>
      <c r="RUI41" s="19"/>
      <c r="RUJ41" s="16"/>
      <c r="RUK41" s="18"/>
      <c r="RUL41" s="13"/>
      <c r="RUM41" s="12"/>
      <c r="RUN41" s="18"/>
      <c r="RUO41" s="12"/>
      <c r="RUP41" s="19"/>
      <c r="RUQ41" s="16"/>
      <c r="RUR41" s="18"/>
      <c r="RUS41" s="13"/>
      <c r="RUT41" s="12"/>
      <c r="RUU41" s="18"/>
      <c r="RUV41" s="12"/>
      <c r="RUW41" s="19"/>
      <c r="RUX41" s="16"/>
      <c r="RUY41" s="18"/>
      <c r="RUZ41" s="13"/>
      <c r="RVA41" s="12"/>
      <c r="RVB41" s="18"/>
      <c r="RVC41" s="12"/>
      <c r="RVD41" s="19"/>
      <c r="RVE41" s="16"/>
      <c r="RVF41" s="18"/>
      <c r="RVG41" s="13"/>
      <c r="RVH41" s="12"/>
      <c r="RVI41" s="18"/>
      <c r="RVJ41" s="12"/>
      <c r="RVK41" s="19"/>
      <c r="RVL41" s="16"/>
      <c r="RVM41" s="18"/>
      <c r="RVN41" s="13"/>
      <c r="RVO41" s="12"/>
      <c r="RVP41" s="18"/>
      <c r="RVQ41" s="12"/>
      <c r="RVR41" s="19"/>
      <c r="RVS41" s="16"/>
      <c r="RVT41" s="18"/>
      <c r="RVU41" s="13"/>
      <c r="RVV41" s="12"/>
      <c r="RVW41" s="18"/>
      <c r="RVX41" s="12"/>
      <c r="RVY41" s="19"/>
      <c r="RVZ41" s="16"/>
      <c r="RWA41" s="18"/>
      <c r="RWB41" s="13"/>
      <c r="RWC41" s="12"/>
      <c r="RWD41" s="18"/>
      <c r="RWE41" s="12"/>
      <c r="RWF41" s="19"/>
      <c r="RWG41" s="16"/>
      <c r="RWH41" s="18"/>
      <c r="RWI41" s="13"/>
      <c r="RWJ41" s="12"/>
      <c r="RWK41" s="18"/>
      <c r="RWL41" s="12"/>
      <c r="RWM41" s="19"/>
      <c r="RWN41" s="16"/>
      <c r="RWO41" s="18"/>
      <c r="RWP41" s="13"/>
      <c r="RWQ41" s="12"/>
      <c r="RWR41" s="18"/>
      <c r="RWS41" s="12"/>
      <c r="RWT41" s="19"/>
      <c r="RWU41" s="16"/>
      <c r="RWV41" s="18"/>
      <c r="RWW41" s="13"/>
      <c r="RWX41" s="12"/>
      <c r="RWY41" s="18"/>
      <c r="RWZ41" s="12"/>
      <c r="RXA41" s="19"/>
      <c r="RXB41" s="16"/>
      <c r="RXC41" s="18"/>
      <c r="RXD41" s="13"/>
      <c r="RXE41" s="12"/>
      <c r="RXF41" s="18"/>
      <c r="RXG41" s="12"/>
      <c r="RXH41" s="19"/>
      <c r="RXI41" s="16"/>
      <c r="RXJ41" s="18"/>
      <c r="RXK41" s="13"/>
      <c r="RXL41" s="12"/>
      <c r="RXM41" s="18"/>
      <c r="RXN41" s="12"/>
      <c r="RXO41" s="19"/>
      <c r="RXP41" s="16"/>
      <c r="RXQ41" s="18"/>
      <c r="RXR41" s="13"/>
      <c r="RXS41" s="12"/>
      <c r="RXT41" s="18"/>
      <c r="RXU41" s="12"/>
      <c r="RXV41" s="19"/>
      <c r="RXW41" s="16"/>
      <c r="RXX41" s="18"/>
      <c r="RXY41" s="13"/>
      <c r="RXZ41" s="12"/>
      <c r="RYA41" s="18"/>
      <c r="RYB41" s="12"/>
      <c r="RYC41" s="19"/>
      <c r="RYD41" s="16"/>
      <c r="RYE41" s="18"/>
      <c r="RYF41" s="13"/>
      <c r="RYG41" s="12"/>
      <c r="RYH41" s="18"/>
      <c r="RYI41" s="12"/>
      <c r="RYJ41" s="19"/>
      <c r="RYK41" s="16"/>
      <c r="RYL41" s="18"/>
      <c r="RYM41" s="13"/>
      <c r="RYN41" s="12"/>
      <c r="RYO41" s="18"/>
      <c r="RYP41" s="12"/>
      <c r="RYQ41" s="19"/>
      <c r="RYR41" s="16"/>
      <c r="RYS41" s="18"/>
      <c r="RYT41" s="13"/>
      <c r="RYU41" s="12"/>
      <c r="RYV41" s="18"/>
      <c r="RYW41" s="12"/>
      <c r="RYX41" s="19"/>
      <c r="RYY41" s="16"/>
      <c r="RYZ41" s="18"/>
      <c r="RZA41" s="13"/>
      <c r="RZB41" s="12"/>
      <c r="RZC41" s="18"/>
      <c r="RZD41" s="12"/>
      <c r="RZE41" s="19"/>
      <c r="RZF41" s="16"/>
      <c r="RZG41" s="18"/>
      <c r="RZH41" s="13"/>
      <c r="RZI41" s="12"/>
      <c r="RZJ41" s="18"/>
      <c r="RZK41" s="12"/>
      <c r="RZL41" s="19"/>
      <c r="RZM41" s="16"/>
      <c r="RZN41" s="18"/>
      <c r="RZO41" s="13"/>
      <c r="RZP41" s="12"/>
      <c r="RZQ41" s="18"/>
      <c r="RZR41" s="12"/>
      <c r="RZS41" s="19"/>
      <c r="RZT41" s="16"/>
      <c r="RZU41" s="18"/>
      <c r="RZV41" s="13"/>
      <c r="RZW41" s="12"/>
      <c r="RZX41" s="18"/>
      <c r="RZY41" s="12"/>
      <c r="RZZ41" s="19"/>
      <c r="SAA41" s="16"/>
      <c r="SAB41" s="18"/>
      <c r="SAC41" s="13"/>
      <c r="SAD41" s="12"/>
      <c r="SAE41" s="18"/>
      <c r="SAF41" s="12"/>
      <c r="SAG41" s="19"/>
      <c r="SAH41" s="16"/>
      <c r="SAI41" s="18"/>
      <c r="SAJ41" s="13"/>
      <c r="SAK41" s="12"/>
      <c r="SAL41" s="18"/>
      <c r="SAM41" s="12"/>
      <c r="SAN41" s="19"/>
      <c r="SAO41" s="16"/>
      <c r="SAP41" s="18"/>
      <c r="SAQ41" s="13"/>
      <c r="SAR41" s="12"/>
      <c r="SAS41" s="18"/>
      <c r="SAT41" s="12"/>
      <c r="SAU41" s="19"/>
      <c r="SAV41" s="16"/>
      <c r="SAW41" s="18"/>
      <c r="SAX41" s="13"/>
      <c r="SAY41" s="12"/>
      <c r="SAZ41" s="18"/>
      <c r="SBA41" s="12"/>
      <c r="SBB41" s="19"/>
      <c r="SBC41" s="16"/>
      <c r="SBD41" s="18"/>
      <c r="SBE41" s="13"/>
      <c r="SBF41" s="12"/>
      <c r="SBG41" s="18"/>
      <c r="SBH41" s="12"/>
      <c r="SBI41" s="19"/>
      <c r="SBJ41" s="16"/>
      <c r="SBK41" s="18"/>
      <c r="SBL41" s="13"/>
      <c r="SBM41" s="12"/>
      <c r="SBN41" s="18"/>
      <c r="SBO41" s="12"/>
      <c r="SBP41" s="19"/>
      <c r="SBQ41" s="16"/>
      <c r="SBR41" s="18"/>
      <c r="SBS41" s="13"/>
      <c r="SBT41" s="12"/>
      <c r="SBU41" s="18"/>
      <c r="SBV41" s="12"/>
      <c r="SBW41" s="19"/>
      <c r="SBX41" s="16"/>
      <c r="SBY41" s="18"/>
      <c r="SBZ41" s="13"/>
      <c r="SCA41" s="12"/>
      <c r="SCB41" s="18"/>
      <c r="SCC41" s="12"/>
      <c r="SCD41" s="19"/>
      <c r="SCE41" s="16"/>
      <c r="SCF41" s="18"/>
      <c r="SCG41" s="13"/>
      <c r="SCH41" s="12"/>
      <c r="SCI41" s="18"/>
      <c r="SCJ41" s="12"/>
      <c r="SCK41" s="19"/>
      <c r="SCL41" s="16"/>
      <c r="SCM41" s="18"/>
      <c r="SCN41" s="13"/>
      <c r="SCO41" s="12"/>
      <c r="SCP41" s="18"/>
      <c r="SCQ41" s="12"/>
      <c r="SCR41" s="19"/>
      <c r="SCS41" s="16"/>
      <c r="SCT41" s="18"/>
      <c r="SCU41" s="13"/>
      <c r="SCV41" s="12"/>
      <c r="SCW41" s="18"/>
      <c r="SCX41" s="12"/>
      <c r="SCY41" s="19"/>
      <c r="SCZ41" s="16"/>
      <c r="SDA41" s="18"/>
      <c r="SDB41" s="13"/>
      <c r="SDC41" s="12"/>
      <c r="SDD41" s="18"/>
      <c r="SDE41" s="12"/>
      <c r="SDF41" s="19"/>
      <c r="SDG41" s="16"/>
      <c r="SDH41" s="18"/>
      <c r="SDI41" s="13"/>
      <c r="SDJ41" s="12"/>
      <c r="SDK41" s="18"/>
      <c r="SDL41" s="12"/>
      <c r="SDM41" s="19"/>
      <c r="SDN41" s="16"/>
      <c r="SDO41" s="18"/>
      <c r="SDP41" s="13"/>
      <c r="SDQ41" s="12"/>
      <c r="SDR41" s="18"/>
      <c r="SDS41" s="12"/>
      <c r="SDT41" s="19"/>
      <c r="SDU41" s="16"/>
      <c r="SDV41" s="18"/>
      <c r="SDW41" s="13"/>
      <c r="SDX41" s="12"/>
      <c r="SDY41" s="18"/>
      <c r="SDZ41" s="12"/>
      <c r="SEA41" s="19"/>
      <c r="SEB41" s="16"/>
      <c r="SEC41" s="18"/>
      <c r="SED41" s="13"/>
      <c r="SEE41" s="12"/>
      <c r="SEF41" s="18"/>
      <c r="SEG41" s="12"/>
      <c r="SEH41" s="19"/>
      <c r="SEI41" s="16"/>
      <c r="SEJ41" s="18"/>
      <c r="SEK41" s="13"/>
      <c r="SEL41" s="12"/>
      <c r="SEM41" s="18"/>
      <c r="SEN41" s="12"/>
      <c r="SEO41" s="19"/>
      <c r="SEP41" s="16"/>
      <c r="SEQ41" s="18"/>
      <c r="SER41" s="13"/>
      <c r="SES41" s="12"/>
      <c r="SET41" s="18"/>
      <c r="SEU41" s="12"/>
      <c r="SEV41" s="19"/>
      <c r="SEW41" s="16"/>
      <c r="SEX41" s="18"/>
      <c r="SEY41" s="13"/>
      <c r="SEZ41" s="12"/>
      <c r="SFA41" s="18"/>
      <c r="SFB41" s="12"/>
      <c r="SFC41" s="19"/>
      <c r="SFD41" s="16"/>
      <c r="SFE41" s="18"/>
      <c r="SFF41" s="13"/>
      <c r="SFG41" s="12"/>
      <c r="SFH41" s="18"/>
      <c r="SFI41" s="12"/>
      <c r="SFJ41" s="19"/>
      <c r="SFK41" s="16"/>
      <c r="SFL41" s="18"/>
      <c r="SFM41" s="13"/>
      <c r="SFN41" s="12"/>
      <c r="SFO41" s="18"/>
      <c r="SFP41" s="12"/>
      <c r="SFQ41" s="19"/>
      <c r="SFR41" s="16"/>
      <c r="SFS41" s="18"/>
      <c r="SFT41" s="13"/>
      <c r="SFU41" s="12"/>
      <c r="SFV41" s="18"/>
      <c r="SFW41" s="12"/>
      <c r="SFX41" s="19"/>
      <c r="SFY41" s="16"/>
      <c r="SFZ41" s="18"/>
      <c r="SGA41" s="13"/>
      <c r="SGB41" s="12"/>
      <c r="SGC41" s="18"/>
      <c r="SGD41" s="12"/>
      <c r="SGE41" s="19"/>
      <c r="SGF41" s="16"/>
      <c r="SGG41" s="18"/>
      <c r="SGH41" s="13"/>
      <c r="SGI41" s="12"/>
      <c r="SGJ41" s="18"/>
      <c r="SGK41" s="12"/>
      <c r="SGL41" s="19"/>
      <c r="SGM41" s="16"/>
      <c r="SGN41" s="18"/>
      <c r="SGO41" s="13"/>
      <c r="SGP41" s="12"/>
      <c r="SGQ41" s="18"/>
      <c r="SGR41" s="12"/>
      <c r="SGS41" s="19"/>
      <c r="SGT41" s="16"/>
      <c r="SGU41" s="18"/>
      <c r="SGV41" s="13"/>
      <c r="SGW41" s="12"/>
      <c r="SGX41" s="18"/>
      <c r="SGY41" s="12"/>
      <c r="SGZ41" s="19"/>
      <c r="SHA41" s="16"/>
      <c r="SHB41" s="18"/>
      <c r="SHC41" s="13"/>
      <c r="SHD41" s="12"/>
      <c r="SHE41" s="18"/>
      <c r="SHF41" s="12"/>
      <c r="SHG41" s="19"/>
      <c r="SHH41" s="16"/>
      <c r="SHI41" s="18"/>
      <c r="SHJ41" s="13"/>
      <c r="SHK41" s="12"/>
      <c r="SHL41" s="18"/>
      <c r="SHM41" s="12"/>
      <c r="SHN41" s="19"/>
      <c r="SHO41" s="16"/>
      <c r="SHP41" s="18"/>
      <c r="SHQ41" s="13"/>
      <c r="SHR41" s="12"/>
      <c r="SHS41" s="18"/>
      <c r="SHT41" s="12"/>
      <c r="SHU41" s="19"/>
      <c r="SHV41" s="16"/>
      <c r="SHW41" s="18"/>
      <c r="SHX41" s="13"/>
      <c r="SHY41" s="12"/>
      <c r="SHZ41" s="18"/>
      <c r="SIA41" s="12"/>
      <c r="SIB41" s="19"/>
      <c r="SIC41" s="16"/>
      <c r="SID41" s="18"/>
      <c r="SIE41" s="13"/>
      <c r="SIF41" s="12"/>
      <c r="SIG41" s="18"/>
      <c r="SIH41" s="12"/>
      <c r="SII41" s="19"/>
      <c r="SIJ41" s="16"/>
      <c r="SIK41" s="18"/>
      <c r="SIL41" s="13"/>
      <c r="SIM41" s="12"/>
      <c r="SIN41" s="18"/>
      <c r="SIO41" s="12"/>
      <c r="SIP41" s="19"/>
      <c r="SIQ41" s="16"/>
      <c r="SIR41" s="18"/>
      <c r="SIS41" s="13"/>
      <c r="SIT41" s="12"/>
      <c r="SIU41" s="18"/>
      <c r="SIV41" s="12"/>
      <c r="SIW41" s="19"/>
      <c r="SIX41" s="16"/>
      <c r="SIY41" s="18"/>
      <c r="SIZ41" s="13"/>
      <c r="SJA41" s="12"/>
      <c r="SJB41" s="18"/>
      <c r="SJC41" s="12"/>
      <c r="SJD41" s="19"/>
      <c r="SJE41" s="16"/>
      <c r="SJF41" s="18"/>
      <c r="SJG41" s="13"/>
      <c r="SJH41" s="12"/>
      <c r="SJI41" s="18"/>
      <c r="SJJ41" s="12"/>
      <c r="SJK41" s="19"/>
      <c r="SJL41" s="16"/>
      <c r="SJM41" s="18"/>
      <c r="SJN41" s="13"/>
      <c r="SJO41" s="12"/>
      <c r="SJP41" s="18"/>
      <c r="SJQ41" s="12"/>
      <c r="SJR41" s="19"/>
      <c r="SJS41" s="16"/>
      <c r="SJT41" s="18"/>
      <c r="SJU41" s="13"/>
      <c r="SJV41" s="12"/>
      <c r="SJW41" s="18"/>
      <c r="SJX41" s="12"/>
      <c r="SJY41" s="19"/>
      <c r="SJZ41" s="16"/>
      <c r="SKA41" s="18"/>
      <c r="SKB41" s="13"/>
      <c r="SKC41" s="12"/>
      <c r="SKD41" s="18"/>
      <c r="SKE41" s="12"/>
      <c r="SKF41" s="19"/>
      <c r="SKG41" s="16"/>
      <c r="SKH41" s="18"/>
      <c r="SKI41" s="13"/>
      <c r="SKJ41" s="12"/>
      <c r="SKK41" s="18"/>
      <c r="SKL41" s="12"/>
      <c r="SKM41" s="19"/>
      <c r="SKN41" s="16"/>
      <c r="SKO41" s="18"/>
      <c r="SKP41" s="13"/>
      <c r="SKQ41" s="12"/>
      <c r="SKR41" s="18"/>
      <c r="SKS41" s="12"/>
      <c r="SKT41" s="19"/>
      <c r="SKU41" s="16"/>
      <c r="SKV41" s="18"/>
      <c r="SKW41" s="13"/>
      <c r="SKX41" s="12"/>
      <c r="SKY41" s="18"/>
      <c r="SKZ41" s="12"/>
      <c r="SLA41" s="19"/>
      <c r="SLB41" s="16"/>
      <c r="SLC41" s="18"/>
      <c r="SLD41" s="13"/>
      <c r="SLE41" s="12"/>
      <c r="SLF41" s="18"/>
      <c r="SLG41" s="12"/>
      <c r="SLH41" s="19"/>
      <c r="SLI41" s="16"/>
      <c r="SLJ41" s="18"/>
      <c r="SLK41" s="13"/>
      <c r="SLL41" s="12"/>
      <c r="SLM41" s="18"/>
      <c r="SLN41" s="12"/>
      <c r="SLO41" s="19"/>
      <c r="SLP41" s="16"/>
      <c r="SLQ41" s="18"/>
      <c r="SLR41" s="13"/>
      <c r="SLS41" s="12"/>
      <c r="SLT41" s="18"/>
      <c r="SLU41" s="12"/>
      <c r="SLV41" s="19"/>
      <c r="SLW41" s="16"/>
      <c r="SLX41" s="18"/>
      <c r="SLY41" s="13"/>
      <c r="SLZ41" s="12"/>
      <c r="SMA41" s="18"/>
      <c r="SMB41" s="12"/>
      <c r="SMC41" s="19"/>
      <c r="SMD41" s="16"/>
      <c r="SME41" s="18"/>
      <c r="SMF41" s="13"/>
      <c r="SMG41" s="12"/>
      <c r="SMH41" s="18"/>
      <c r="SMI41" s="12"/>
      <c r="SMJ41" s="19"/>
      <c r="SMK41" s="16"/>
      <c r="SML41" s="18"/>
      <c r="SMM41" s="13"/>
      <c r="SMN41" s="12"/>
      <c r="SMO41" s="18"/>
      <c r="SMP41" s="12"/>
      <c r="SMQ41" s="19"/>
      <c r="SMR41" s="16"/>
      <c r="SMS41" s="18"/>
      <c r="SMT41" s="13"/>
      <c r="SMU41" s="12"/>
      <c r="SMV41" s="18"/>
      <c r="SMW41" s="12"/>
      <c r="SMX41" s="19"/>
      <c r="SMY41" s="16"/>
      <c r="SMZ41" s="18"/>
      <c r="SNA41" s="13"/>
      <c r="SNB41" s="12"/>
      <c r="SNC41" s="18"/>
      <c r="SND41" s="12"/>
      <c r="SNE41" s="19"/>
      <c r="SNF41" s="16"/>
      <c r="SNG41" s="18"/>
      <c r="SNH41" s="13"/>
      <c r="SNI41" s="12"/>
      <c r="SNJ41" s="18"/>
      <c r="SNK41" s="12"/>
      <c r="SNL41" s="19"/>
      <c r="SNM41" s="16"/>
      <c r="SNN41" s="18"/>
      <c r="SNO41" s="13"/>
      <c r="SNP41" s="12"/>
      <c r="SNQ41" s="18"/>
      <c r="SNR41" s="12"/>
      <c r="SNS41" s="19"/>
      <c r="SNT41" s="16"/>
      <c r="SNU41" s="18"/>
      <c r="SNV41" s="13"/>
      <c r="SNW41" s="12"/>
      <c r="SNX41" s="18"/>
      <c r="SNY41" s="12"/>
      <c r="SNZ41" s="19"/>
      <c r="SOA41" s="16"/>
      <c r="SOB41" s="18"/>
      <c r="SOC41" s="13"/>
      <c r="SOD41" s="12"/>
      <c r="SOE41" s="18"/>
      <c r="SOF41" s="12"/>
      <c r="SOG41" s="19"/>
      <c r="SOH41" s="16"/>
      <c r="SOI41" s="18"/>
      <c r="SOJ41" s="13"/>
      <c r="SOK41" s="12"/>
      <c r="SOL41" s="18"/>
      <c r="SOM41" s="12"/>
      <c r="SON41" s="19"/>
      <c r="SOO41" s="16"/>
      <c r="SOP41" s="18"/>
      <c r="SOQ41" s="13"/>
      <c r="SOR41" s="12"/>
      <c r="SOS41" s="18"/>
      <c r="SOT41" s="12"/>
      <c r="SOU41" s="19"/>
      <c r="SOV41" s="16"/>
      <c r="SOW41" s="18"/>
      <c r="SOX41" s="13"/>
      <c r="SOY41" s="12"/>
      <c r="SOZ41" s="18"/>
      <c r="SPA41" s="12"/>
      <c r="SPB41" s="19"/>
      <c r="SPC41" s="16"/>
      <c r="SPD41" s="18"/>
      <c r="SPE41" s="13"/>
      <c r="SPF41" s="12"/>
      <c r="SPG41" s="18"/>
      <c r="SPH41" s="12"/>
      <c r="SPI41" s="19"/>
      <c r="SPJ41" s="16"/>
      <c r="SPK41" s="18"/>
      <c r="SPL41" s="13"/>
      <c r="SPM41" s="12"/>
      <c r="SPN41" s="18"/>
      <c r="SPO41" s="12"/>
      <c r="SPP41" s="19"/>
      <c r="SPQ41" s="16"/>
      <c r="SPR41" s="18"/>
      <c r="SPS41" s="13"/>
      <c r="SPT41" s="12"/>
      <c r="SPU41" s="18"/>
      <c r="SPV41" s="12"/>
      <c r="SPW41" s="19"/>
      <c r="SPX41" s="16"/>
      <c r="SPY41" s="18"/>
      <c r="SPZ41" s="13"/>
      <c r="SQA41" s="12"/>
      <c r="SQB41" s="18"/>
      <c r="SQC41" s="12"/>
      <c r="SQD41" s="19"/>
      <c r="SQE41" s="16"/>
      <c r="SQF41" s="18"/>
      <c r="SQG41" s="13"/>
      <c r="SQH41" s="12"/>
      <c r="SQI41" s="18"/>
      <c r="SQJ41" s="12"/>
      <c r="SQK41" s="19"/>
      <c r="SQL41" s="16"/>
      <c r="SQM41" s="18"/>
      <c r="SQN41" s="13"/>
      <c r="SQO41" s="12"/>
      <c r="SQP41" s="18"/>
      <c r="SQQ41" s="12"/>
      <c r="SQR41" s="19"/>
      <c r="SQS41" s="16"/>
      <c r="SQT41" s="18"/>
      <c r="SQU41" s="13"/>
      <c r="SQV41" s="12"/>
      <c r="SQW41" s="18"/>
      <c r="SQX41" s="12"/>
      <c r="SQY41" s="19"/>
      <c r="SQZ41" s="16"/>
      <c r="SRA41" s="18"/>
      <c r="SRB41" s="13"/>
      <c r="SRC41" s="12"/>
      <c r="SRD41" s="18"/>
      <c r="SRE41" s="12"/>
      <c r="SRF41" s="19"/>
      <c r="SRG41" s="16"/>
      <c r="SRH41" s="18"/>
      <c r="SRI41" s="13"/>
      <c r="SRJ41" s="12"/>
      <c r="SRK41" s="18"/>
      <c r="SRL41" s="12"/>
      <c r="SRM41" s="19"/>
      <c r="SRN41" s="16"/>
      <c r="SRO41" s="18"/>
      <c r="SRP41" s="13"/>
      <c r="SRQ41" s="12"/>
      <c r="SRR41" s="18"/>
      <c r="SRS41" s="12"/>
      <c r="SRT41" s="19"/>
      <c r="SRU41" s="16"/>
      <c r="SRV41" s="18"/>
      <c r="SRW41" s="13"/>
      <c r="SRX41" s="12"/>
      <c r="SRY41" s="18"/>
      <c r="SRZ41" s="12"/>
      <c r="SSA41" s="19"/>
      <c r="SSB41" s="16"/>
      <c r="SSC41" s="18"/>
      <c r="SSD41" s="13"/>
      <c r="SSE41" s="12"/>
      <c r="SSF41" s="18"/>
      <c r="SSG41" s="12"/>
      <c r="SSH41" s="19"/>
      <c r="SSI41" s="16"/>
      <c r="SSJ41" s="18"/>
      <c r="SSK41" s="13"/>
      <c r="SSL41" s="12"/>
      <c r="SSM41" s="18"/>
      <c r="SSN41" s="12"/>
      <c r="SSO41" s="19"/>
      <c r="SSP41" s="16"/>
      <c r="SSQ41" s="18"/>
      <c r="SSR41" s="13"/>
      <c r="SSS41" s="12"/>
      <c r="SST41" s="18"/>
      <c r="SSU41" s="12"/>
      <c r="SSV41" s="19"/>
      <c r="SSW41" s="16"/>
      <c r="SSX41" s="18"/>
      <c r="SSY41" s="13"/>
      <c r="SSZ41" s="12"/>
      <c r="STA41" s="18"/>
      <c r="STB41" s="12"/>
      <c r="STC41" s="19"/>
      <c r="STD41" s="16"/>
      <c r="STE41" s="18"/>
      <c r="STF41" s="13"/>
      <c r="STG41" s="12"/>
      <c r="STH41" s="18"/>
      <c r="STI41" s="12"/>
      <c r="STJ41" s="19"/>
      <c r="STK41" s="16"/>
      <c r="STL41" s="18"/>
      <c r="STM41" s="13"/>
      <c r="STN41" s="12"/>
      <c r="STO41" s="18"/>
      <c r="STP41" s="12"/>
      <c r="STQ41" s="19"/>
      <c r="STR41" s="16"/>
      <c r="STS41" s="18"/>
      <c r="STT41" s="13"/>
      <c r="STU41" s="12"/>
      <c r="STV41" s="18"/>
      <c r="STW41" s="12"/>
      <c r="STX41" s="19"/>
      <c r="STY41" s="16"/>
      <c r="STZ41" s="18"/>
      <c r="SUA41" s="13"/>
      <c r="SUB41" s="12"/>
      <c r="SUC41" s="18"/>
      <c r="SUD41" s="12"/>
      <c r="SUE41" s="19"/>
      <c r="SUF41" s="16"/>
      <c r="SUG41" s="18"/>
      <c r="SUH41" s="13"/>
      <c r="SUI41" s="12"/>
      <c r="SUJ41" s="18"/>
      <c r="SUK41" s="12"/>
      <c r="SUL41" s="19"/>
      <c r="SUM41" s="16"/>
      <c r="SUN41" s="18"/>
      <c r="SUO41" s="13"/>
      <c r="SUP41" s="12"/>
      <c r="SUQ41" s="18"/>
      <c r="SUR41" s="12"/>
      <c r="SUS41" s="19"/>
      <c r="SUT41" s="16"/>
      <c r="SUU41" s="18"/>
      <c r="SUV41" s="13"/>
      <c r="SUW41" s="12"/>
      <c r="SUX41" s="18"/>
      <c r="SUY41" s="12"/>
      <c r="SUZ41" s="19"/>
      <c r="SVA41" s="16"/>
      <c r="SVB41" s="18"/>
      <c r="SVC41" s="13"/>
      <c r="SVD41" s="12"/>
      <c r="SVE41" s="18"/>
      <c r="SVF41" s="12"/>
      <c r="SVG41" s="19"/>
      <c r="SVH41" s="16"/>
      <c r="SVI41" s="18"/>
      <c r="SVJ41" s="13"/>
      <c r="SVK41" s="12"/>
      <c r="SVL41" s="18"/>
      <c r="SVM41" s="12"/>
      <c r="SVN41" s="19"/>
      <c r="SVO41" s="16"/>
      <c r="SVP41" s="18"/>
      <c r="SVQ41" s="13"/>
      <c r="SVR41" s="12"/>
      <c r="SVS41" s="18"/>
      <c r="SVT41" s="12"/>
      <c r="SVU41" s="19"/>
      <c r="SVV41" s="16"/>
      <c r="SVW41" s="18"/>
      <c r="SVX41" s="13"/>
      <c r="SVY41" s="12"/>
      <c r="SVZ41" s="18"/>
      <c r="SWA41" s="12"/>
      <c r="SWB41" s="19"/>
      <c r="SWC41" s="16"/>
      <c r="SWD41" s="18"/>
      <c r="SWE41" s="13"/>
      <c r="SWF41" s="12"/>
      <c r="SWG41" s="18"/>
      <c r="SWH41" s="12"/>
      <c r="SWI41" s="19"/>
      <c r="SWJ41" s="16"/>
      <c r="SWK41" s="18"/>
      <c r="SWL41" s="13"/>
      <c r="SWM41" s="12"/>
      <c r="SWN41" s="18"/>
      <c r="SWO41" s="12"/>
      <c r="SWP41" s="19"/>
      <c r="SWQ41" s="16"/>
      <c r="SWR41" s="18"/>
      <c r="SWS41" s="13"/>
      <c r="SWT41" s="12"/>
      <c r="SWU41" s="18"/>
      <c r="SWV41" s="12"/>
      <c r="SWW41" s="19"/>
      <c r="SWX41" s="16"/>
      <c r="SWY41" s="18"/>
      <c r="SWZ41" s="13"/>
      <c r="SXA41" s="12"/>
      <c r="SXB41" s="18"/>
      <c r="SXC41" s="12"/>
      <c r="SXD41" s="19"/>
      <c r="SXE41" s="16"/>
      <c r="SXF41" s="18"/>
      <c r="SXG41" s="13"/>
      <c r="SXH41" s="12"/>
      <c r="SXI41" s="18"/>
      <c r="SXJ41" s="12"/>
      <c r="SXK41" s="19"/>
      <c r="SXL41" s="16"/>
      <c r="SXM41" s="18"/>
      <c r="SXN41" s="13"/>
      <c r="SXO41" s="12"/>
      <c r="SXP41" s="18"/>
      <c r="SXQ41" s="12"/>
      <c r="SXR41" s="19"/>
      <c r="SXS41" s="16"/>
      <c r="SXT41" s="18"/>
      <c r="SXU41" s="13"/>
      <c r="SXV41" s="12"/>
      <c r="SXW41" s="18"/>
      <c r="SXX41" s="12"/>
      <c r="SXY41" s="19"/>
      <c r="SXZ41" s="16"/>
      <c r="SYA41" s="18"/>
      <c r="SYB41" s="13"/>
      <c r="SYC41" s="12"/>
      <c r="SYD41" s="18"/>
      <c r="SYE41" s="12"/>
      <c r="SYF41" s="19"/>
      <c r="SYG41" s="16"/>
      <c r="SYH41" s="18"/>
      <c r="SYI41" s="13"/>
      <c r="SYJ41" s="12"/>
      <c r="SYK41" s="18"/>
      <c r="SYL41" s="12"/>
      <c r="SYM41" s="19"/>
      <c r="SYN41" s="16"/>
      <c r="SYO41" s="18"/>
      <c r="SYP41" s="13"/>
      <c r="SYQ41" s="12"/>
      <c r="SYR41" s="18"/>
      <c r="SYS41" s="12"/>
      <c r="SYT41" s="19"/>
      <c r="SYU41" s="16"/>
      <c r="SYV41" s="18"/>
      <c r="SYW41" s="13"/>
      <c r="SYX41" s="12"/>
      <c r="SYY41" s="18"/>
      <c r="SYZ41" s="12"/>
      <c r="SZA41" s="19"/>
      <c r="SZB41" s="16"/>
      <c r="SZC41" s="18"/>
      <c r="SZD41" s="13"/>
      <c r="SZE41" s="12"/>
      <c r="SZF41" s="18"/>
      <c r="SZG41" s="12"/>
      <c r="SZH41" s="19"/>
      <c r="SZI41" s="16"/>
      <c r="SZJ41" s="18"/>
      <c r="SZK41" s="13"/>
      <c r="SZL41" s="12"/>
      <c r="SZM41" s="18"/>
      <c r="SZN41" s="12"/>
      <c r="SZO41" s="19"/>
      <c r="SZP41" s="16"/>
      <c r="SZQ41" s="18"/>
      <c r="SZR41" s="13"/>
      <c r="SZS41" s="12"/>
      <c r="SZT41" s="18"/>
      <c r="SZU41" s="12"/>
      <c r="SZV41" s="19"/>
      <c r="SZW41" s="16"/>
      <c r="SZX41" s="18"/>
      <c r="SZY41" s="13"/>
      <c r="SZZ41" s="12"/>
      <c r="TAA41" s="18"/>
      <c r="TAB41" s="12"/>
      <c r="TAC41" s="19"/>
      <c r="TAD41" s="16"/>
      <c r="TAE41" s="18"/>
      <c r="TAF41" s="13"/>
      <c r="TAG41" s="12"/>
      <c r="TAH41" s="18"/>
      <c r="TAI41" s="12"/>
      <c r="TAJ41" s="19"/>
      <c r="TAK41" s="16"/>
      <c r="TAL41" s="18"/>
      <c r="TAM41" s="13"/>
      <c r="TAN41" s="12"/>
      <c r="TAO41" s="18"/>
      <c r="TAP41" s="12"/>
      <c r="TAQ41" s="19"/>
      <c r="TAR41" s="16"/>
      <c r="TAS41" s="18"/>
      <c r="TAT41" s="13"/>
      <c r="TAU41" s="12"/>
      <c r="TAV41" s="18"/>
      <c r="TAW41" s="12"/>
      <c r="TAX41" s="19"/>
      <c r="TAY41" s="16"/>
      <c r="TAZ41" s="18"/>
      <c r="TBA41" s="13"/>
      <c r="TBB41" s="12"/>
      <c r="TBC41" s="18"/>
      <c r="TBD41" s="12"/>
      <c r="TBE41" s="19"/>
      <c r="TBF41" s="16"/>
      <c r="TBG41" s="18"/>
      <c r="TBH41" s="13"/>
      <c r="TBI41" s="12"/>
      <c r="TBJ41" s="18"/>
      <c r="TBK41" s="12"/>
      <c r="TBL41" s="19"/>
      <c r="TBM41" s="16"/>
      <c r="TBN41" s="18"/>
      <c r="TBO41" s="13"/>
      <c r="TBP41" s="12"/>
      <c r="TBQ41" s="18"/>
      <c r="TBR41" s="12"/>
      <c r="TBS41" s="19"/>
      <c r="TBT41" s="16"/>
      <c r="TBU41" s="18"/>
      <c r="TBV41" s="13"/>
      <c r="TBW41" s="12"/>
      <c r="TBX41" s="18"/>
      <c r="TBY41" s="12"/>
      <c r="TBZ41" s="19"/>
      <c r="TCA41" s="16"/>
      <c r="TCB41" s="18"/>
      <c r="TCC41" s="13"/>
      <c r="TCD41" s="12"/>
      <c r="TCE41" s="18"/>
      <c r="TCF41" s="12"/>
      <c r="TCG41" s="19"/>
      <c r="TCH41" s="16"/>
      <c r="TCI41" s="18"/>
      <c r="TCJ41" s="13"/>
      <c r="TCK41" s="12"/>
      <c r="TCL41" s="18"/>
      <c r="TCM41" s="12"/>
      <c r="TCN41" s="19"/>
      <c r="TCO41" s="16"/>
      <c r="TCP41" s="18"/>
      <c r="TCQ41" s="13"/>
      <c r="TCR41" s="12"/>
      <c r="TCS41" s="18"/>
      <c r="TCT41" s="12"/>
      <c r="TCU41" s="19"/>
      <c r="TCV41" s="16"/>
      <c r="TCW41" s="18"/>
      <c r="TCX41" s="13"/>
      <c r="TCY41" s="12"/>
      <c r="TCZ41" s="18"/>
      <c r="TDA41" s="12"/>
      <c r="TDB41" s="19"/>
      <c r="TDC41" s="16"/>
      <c r="TDD41" s="18"/>
      <c r="TDE41" s="13"/>
      <c r="TDF41" s="12"/>
      <c r="TDG41" s="18"/>
      <c r="TDH41" s="12"/>
      <c r="TDI41" s="19"/>
      <c r="TDJ41" s="16"/>
      <c r="TDK41" s="18"/>
      <c r="TDL41" s="13"/>
      <c r="TDM41" s="12"/>
      <c r="TDN41" s="18"/>
      <c r="TDO41" s="12"/>
      <c r="TDP41" s="19"/>
      <c r="TDQ41" s="16"/>
      <c r="TDR41" s="18"/>
      <c r="TDS41" s="13"/>
      <c r="TDT41" s="12"/>
      <c r="TDU41" s="18"/>
      <c r="TDV41" s="12"/>
      <c r="TDW41" s="19"/>
      <c r="TDX41" s="16"/>
      <c r="TDY41" s="18"/>
      <c r="TDZ41" s="13"/>
      <c r="TEA41" s="12"/>
      <c r="TEB41" s="18"/>
      <c r="TEC41" s="12"/>
      <c r="TED41" s="19"/>
      <c r="TEE41" s="16"/>
      <c r="TEF41" s="18"/>
      <c r="TEG41" s="13"/>
      <c r="TEH41" s="12"/>
      <c r="TEI41" s="18"/>
      <c r="TEJ41" s="12"/>
      <c r="TEK41" s="19"/>
      <c r="TEL41" s="16"/>
      <c r="TEM41" s="18"/>
      <c r="TEN41" s="13"/>
      <c r="TEO41" s="12"/>
      <c r="TEP41" s="18"/>
      <c r="TEQ41" s="12"/>
      <c r="TER41" s="19"/>
      <c r="TES41" s="16"/>
      <c r="TET41" s="18"/>
      <c r="TEU41" s="13"/>
      <c r="TEV41" s="12"/>
      <c r="TEW41" s="18"/>
      <c r="TEX41" s="12"/>
      <c r="TEY41" s="19"/>
      <c r="TEZ41" s="16"/>
      <c r="TFA41" s="18"/>
      <c r="TFB41" s="13"/>
      <c r="TFC41" s="12"/>
      <c r="TFD41" s="18"/>
      <c r="TFE41" s="12"/>
      <c r="TFF41" s="19"/>
      <c r="TFG41" s="16"/>
      <c r="TFH41" s="18"/>
      <c r="TFI41" s="13"/>
      <c r="TFJ41" s="12"/>
      <c r="TFK41" s="18"/>
      <c r="TFL41" s="12"/>
      <c r="TFM41" s="19"/>
      <c r="TFN41" s="16"/>
      <c r="TFO41" s="18"/>
      <c r="TFP41" s="13"/>
      <c r="TFQ41" s="12"/>
      <c r="TFR41" s="18"/>
      <c r="TFS41" s="12"/>
      <c r="TFT41" s="19"/>
      <c r="TFU41" s="16"/>
      <c r="TFV41" s="18"/>
      <c r="TFW41" s="13"/>
      <c r="TFX41" s="12"/>
      <c r="TFY41" s="18"/>
      <c r="TFZ41" s="12"/>
      <c r="TGA41" s="19"/>
      <c r="TGB41" s="16"/>
      <c r="TGC41" s="18"/>
      <c r="TGD41" s="13"/>
      <c r="TGE41" s="12"/>
      <c r="TGF41" s="18"/>
      <c r="TGG41" s="12"/>
      <c r="TGH41" s="19"/>
      <c r="TGI41" s="16"/>
      <c r="TGJ41" s="18"/>
      <c r="TGK41" s="13"/>
      <c r="TGL41" s="12"/>
      <c r="TGM41" s="18"/>
      <c r="TGN41" s="12"/>
      <c r="TGO41" s="19"/>
      <c r="TGP41" s="16"/>
      <c r="TGQ41" s="18"/>
      <c r="TGR41" s="13"/>
      <c r="TGS41" s="12"/>
      <c r="TGT41" s="18"/>
      <c r="TGU41" s="12"/>
      <c r="TGV41" s="19"/>
      <c r="TGW41" s="16"/>
      <c r="TGX41" s="18"/>
      <c r="TGY41" s="13"/>
      <c r="TGZ41" s="12"/>
      <c r="THA41" s="18"/>
      <c r="THB41" s="12"/>
      <c r="THC41" s="19"/>
      <c r="THD41" s="16"/>
      <c r="THE41" s="18"/>
      <c r="THF41" s="13"/>
      <c r="THG41" s="12"/>
      <c r="THH41" s="18"/>
      <c r="THI41" s="12"/>
      <c r="THJ41" s="19"/>
      <c r="THK41" s="16"/>
      <c r="THL41" s="18"/>
      <c r="THM41" s="13"/>
      <c r="THN41" s="12"/>
      <c r="THO41" s="18"/>
      <c r="THP41" s="12"/>
      <c r="THQ41" s="19"/>
      <c r="THR41" s="16"/>
      <c r="THS41" s="18"/>
      <c r="THT41" s="13"/>
      <c r="THU41" s="12"/>
      <c r="THV41" s="18"/>
      <c r="THW41" s="12"/>
      <c r="THX41" s="19"/>
      <c r="THY41" s="16"/>
      <c r="THZ41" s="18"/>
      <c r="TIA41" s="13"/>
      <c r="TIB41" s="12"/>
      <c r="TIC41" s="18"/>
      <c r="TID41" s="12"/>
      <c r="TIE41" s="19"/>
      <c r="TIF41" s="16"/>
      <c r="TIG41" s="18"/>
      <c r="TIH41" s="13"/>
      <c r="TII41" s="12"/>
      <c r="TIJ41" s="18"/>
      <c r="TIK41" s="12"/>
      <c r="TIL41" s="19"/>
      <c r="TIM41" s="16"/>
      <c r="TIN41" s="18"/>
      <c r="TIO41" s="13"/>
      <c r="TIP41" s="12"/>
      <c r="TIQ41" s="18"/>
      <c r="TIR41" s="12"/>
      <c r="TIS41" s="19"/>
      <c r="TIT41" s="16"/>
      <c r="TIU41" s="18"/>
      <c r="TIV41" s="13"/>
      <c r="TIW41" s="12"/>
      <c r="TIX41" s="18"/>
      <c r="TIY41" s="12"/>
      <c r="TIZ41" s="19"/>
      <c r="TJA41" s="16"/>
      <c r="TJB41" s="18"/>
      <c r="TJC41" s="13"/>
      <c r="TJD41" s="12"/>
      <c r="TJE41" s="18"/>
      <c r="TJF41" s="12"/>
      <c r="TJG41" s="19"/>
      <c r="TJH41" s="16"/>
      <c r="TJI41" s="18"/>
      <c r="TJJ41" s="13"/>
      <c r="TJK41" s="12"/>
      <c r="TJL41" s="18"/>
      <c r="TJM41" s="12"/>
      <c r="TJN41" s="19"/>
      <c r="TJO41" s="16"/>
      <c r="TJP41" s="18"/>
      <c r="TJQ41" s="13"/>
      <c r="TJR41" s="12"/>
      <c r="TJS41" s="18"/>
      <c r="TJT41" s="12"/>
      <c r="TJU41" s="19"/>
      <c r="TJV41" s="16"/>
      <c r="TJW41" s="18"/>
      <c r="TJX41" s="13"/>
      <c r="TJY41" s="12"/>
      <c r="TJZ41" s="18"/>
      <c r="TKA41" s="12"/>
      <c r="TKB41" s="19"/>
      <c r="TKC41" s="16"/>
      <c r="TKD41" s="18"/>
      <c r="TKE41" s="13"/>
      <c r="TKF41" s="12"/>
      <c r="TKG41" s="18"/>
      <c r="TKH41" s="12"/>
      <c r="TKI41" s="19"/>
      <c r="TKJ41" s="16"/>
      <c r="TKK41" s="18"/>
      <c r="TKL41" s="13"/>
      <c r="TKM41" s="12"/>
      <c r="TKN41" s="18"/>
      <c r="TKO41" s="12"/>
      <c r="TKP41" s="19"/>
      <c r="TKQ41" s="16"/>
      <c r="TKR41" s="18"/>
      <c r="TKS41" s="13"/>
      <c r="TKT41" s="12"/>
      <c r="TKU41" s="18"/>
      <c r="TKV41" s="12"/>
      <c r="TKW41" s="19"/>
      <c r="TKX41" s="16"/>
      <c r="TKY41" s="18"/>
      <c r="TKZ41" s="13"/>
      <c r="TLA41" s="12"/>
      <c r="TLB41" s="18"/>
      <c r="TLC41" s="12"/>
      <c r="TLD41" s="19"/>
      <c r="TLE41" s="16"/>
      <c r="TLF41" s="18"/>
      <c r="TLG41" s="13"/>
      <c r="TLH41" s="12"/>
      <c r="TLI41" s="18"/>
      <c r="TLJ41" s="12"/>
      <c r="TLK41" s="19"/>
      <c r="TLL41" s="16"/>
      <c r="TLM41" s="18"/>
      <c r="TLN41" s="13"/>
      <c r="TLO41" s="12"/>
      <c r="TLP41" s="18"/>
      <c r="TLQ41" s="12"/>
      <c r="TLR41" s="19"/>
      <c r="TLS41" s="16"/>
      <c r="TLT41" s="18"/>
      <c r="TLU41" s="13"/>
      <c r="TLV41" s="12"/>
      <c r="TLW41" s="18"/>
      <c r="TLX41" s="12"/>
      <c r="TLY41" s="19"/>
      <c r="TLZ41" s="16"/>
      <c r="TMA41" s="18"/>
      <c r="TMB41" s="13"/>
      <c r="TMC41" s="12"/>
      <c r="TMD41" s="18"/>
      <c r="TME41" s="12"/>
      <c r="TMF41" s="19"/>
      <c r="TMG41" s="16"/>
      <c r="TMH41" s="18"/>
      <c r="TMI41" s="13"/>
      <c r="TMJ41" s="12"/>
      <c r="TMK41" s="18"/>
      <c r="TML41" s="12"/>
      <c r="TMM41" s="19"/>
      <c r="TMN41" s="16"/>
      <c r="TMO41" s="18"/>
      <c r="TMP41" s="13"/>
      <c r="TMQ41" s="12"/>
      <c r="TMR41" s="18"/>
      <c r="TMS41" s="12"/>
      <c r="TMT41" s="19"/>
      <c r="TMU41" s="16"/>
      <c r="TMV41" s="18"/>
      <c r="TMW41" s="13"/>
      <c r="TMX41" s="12"/>
      <c r="TMY41" s="18"/>
      <c r="TMZ41" s="12"/>
      <c r="TNA41" s="19"/>
      <c r="TNB41" s="16"/>
      <c r="TNC41" s="18"/>
      <c r="TND41" s="13"/>
      <c r="TNE41" s="12"/>
      <c r="TNF41" s="18"/>
      <c r="TNG41" s="12"/>
      <c r="TNH41" s="19"/>
      <c r="TNI41" s="16"/>
      <c r="TNJ41" s="18"/>
      <c r="TNK41" s="13"/>
      <c r="TNL41" s="12"/>
      <c r="TNM41" s="18"/>
      <c r="TNN41" s="12"/>
      <c r="TNO41" s="19"/>
      <c r="TNP41" s="16"/>
      <c r="TNQ41" s="18"/>
      <c r="TNR41" s="13"/>
      <c r="TNS41" s="12"/>
      <c r="TNT41" s="18"/>
      <c r="TNU41" s="12"/>
      <c r="TNV41" s="19"/>
      <c r="TNW41" s="16"/>
      <c r="TNX41" s="18"/>
      <c r="TNY41" s="13"/>
      <c r="TNZ41" s="12"/>
      <c r="TOA41" s="18"/>
      <c r="TOB41" s="12"/>
      <c r="TOC41" s="19"/>
      <c r="TOD41" s="16"/>
      <c r="TOE41" s="18"/>
      <c r="TOF41" s="13"/>
      <c r="TOG41" s="12"/>
      <c r="TOH41" s="18"/>
      <c r="TOI41" s="12"/>
      <c r="TOJ41" s="19"/>
      <c r="TOK41" s="16"/>
      <c r="TOL41" s="18"/>
      <c r="TOM41" s="13"/>
      <c r="TON41" s="12"/>
      <c r="TOO41" s="18"/>
      <c r="TOP41" s="12"/>
      <c r="TOQ41" s="19"/>
      <c r="TOR41" s="16"/>
      <c r="TOS41" s="18"/>
      <c r="TOT41" s="13"/>
      <c r="TOU41" s="12"/>
      <c r="TOV41" s="18"/>
      <c r="TOW41" s="12"/>
      <c r="TOX41" s="19"/>
      <c r="TOY41" s="16"/>
      <c r="TOZ41" s="18"/>
      <c r="TPA41" s="13"/>
      <c r="TPB41" s="12"/>
      <c r="TPC41" s="18"/>
      <c r="TPD41" s="12"/>
      <c r="TPE41" s="19"/>
      <c r="TPF41" s="16"/>
      <c r="TPG41" s="18"/>
      <c r="TPH41" s="13"/>
      <c r="TPI41" s="12"/>
      <c r="TPJ41" s="18"/>
      <c r="TPK41" s="12"/>
      <c r="TPL41" s="19"/>
      <c r="TPM41" s="16"/>
      <c r="TPN41" s="18"/>
      <c r="TPO41" s="13"/>
      <c r="TPP41" s="12"/>
      <c r="TPQ41" s="18"/>
      <c r="TPR41" s="12"/>
      <c r="TPS41" s="19"/>
      <c r="TPT41" s="16"/>
      <c r="TPU41" s="18"/>
      <c r="TPV41" s="13"/>
      <c r="TPW41" s="12"/>
      <c r="TPX41" s="18"/>
      <c r="TPY41" s="12"/>
      <c r="TPZ41" s="19"/>
      <c r="TQA41" s="16"/>
      <c r="TQB41" s="18"/>
      <c r="TQC41" s="13"/>
      <c r="TQD41" s="12"/>
      <c r="TQE41" s="18"/>
      <c r="TQF41" s="12"/>
      <c r="TQG41" s="19"/>
      <c r="TQH41" s="16"/>
      <c r="TQI41" s="18"/>
      <c r="TQJ41" s="13"/>
      <c r="TQK41" s="12"/>
      <c r="TQL41" s="18"/>
      <c r="TQM41" s="12"/>
      <c r="TQN41" s="19"/>
      <c r="TQO41" s="16"/>
      <c r="TQP41" s="18"/>
      <c r="TQQ41" s="13"/>
      <c r="TQR41" s="12"/>
      <c r="TQS41" s="18"/>
      <c r="TQT41" s="12"/>
      <c r="TQU41" s="19"/>
      <c r="TQV41" s="16"/>
      <c r="TQW41" s="18"/>
      <c r="TQX41" s="13"/>
      <c r="TQY41" s="12"/>
      <c r="TQZ41" s="18"/>
      <c r="TRA41" s="12"/>
      <c r="TRB41" s="19"/>
      <c r="TRC41" s="16"/>
      <c r="TRD41" s="18"/>
      <c r="TRE41" s="13"/>
      <c r="TRF41" s="12"/>
      <c r="TRG41" s="18"/>
      <c r="TRH41" s="12"/>
      <c r="TRI41" s="19"/>
      <c r="TRJ41" s="16"/>
      <c r="TRK41" s="18"/>
      <c r="TRL41" s="13"/>
      <c r="TRM41" s="12"/>
      <c r="TRN41" s="18"/>
      <c r="TRO41" s="12"/>
      <c r="TRP41" s="19"/>
      <c r="TRQ41" s="16"/>
      <c r="TRR41" s="18"/>
      <c r="TRS41" s="13"/>
      <c r="TRT41" s="12"/>
      <c r="TRU41" s="18"/>
      <c r="TRV41" s="12"/>
      <c r="TRW41" s="19"/>
      <c r="TRX41" s="16"/>
      <c r="TRY41" s="18"/>
      <c r="TRZ41" s="13"/>
      <c r="TSA41" s="12"/>
      <c r="TSB41" s="18"/>
      <c r="TSC41" s="12"/>
      <c r="TSD41" s="19"/>
      <c r="TSE41" s="16"/>
      <c r="TSF41" s="18"/>
      <c r="TSG41" s="13"/>
      <c r="TSH41" s="12"/>
      <c r="TSI41" s="18"/>
      <c r="TSJ41" s="12"/>
      <c r="TSK41" s="19"/>
      <c r="TSL41" s="16"/>
      <c r="TSM41" s="18"/>
      <c r="TSN41" s="13"/>
      <c r="TSO41" s="12"/>
      <c r="TSP41" s="18"/>
      <c r="TSQ41" s="12"/>
      <c r="TSR41" s="19"/>
      <c r="TSS41" s="16"/>
      <c r="TST41" s="18"/>
      <c r="TSU41" s="13"/>
      <c r="TSV41" s="12"/>
      <c r="TSW41" s="18"/>
      <c r="TSX41" s="12"/>
      <c r="TSY41" s="19"/>
      <c r="TSZ41" s="16"/>
      <c r="TTA41" s="18"/>
      <c r="TTB41" s="13"/>
      <c r="TTC41" s="12"/>
      <c r="TTD41" s="18"/>
      <c r="TTE41" s="12"/>
      <c r="TTF41" s="19"/>
      <c r="TTG41" s="16"/>
      <c r="TTH41" s="18"/>
      <c r="TTI41" s="13"/>
      <c r="TTJ41" s="12"/>
      <c r="TTK41" s="18"/>
      <c r="TTL41" s="12"/>
      <c r="TTM41" s="19"/>
      <c r="TTN41" s="16"/>
      <c r="TTO41" s="18"/>
      <c r="TTP41" s="13"/>
      <c r="TTQ41" s="12"/>
      <c r="TTR41" s="18"/>
      <c r="TTS41" s="12"/>
      <c r="TTT41" s="19"/>
      <c r="TTU41" s="16"/>
      <c r="TTV41" s="18"/>
      <c r="TTW41" s="13"/>
      <c r="TTX41" s="12"/>
      <c r="TTY41" s="18"/>
      <c r="TTZ41" s="12"/>
      <c r="TUA41" s="19"/>
      <c r="TUB41" s="16"/>
      <c r="TUC41" s="18"/>
      <c r="TUD41" s="13"/>
      <c r="TUE41" s="12"/>
      <c r="TUF41" s="18"/>
      <c r="TUG41" s="12"/>
      <c r="TUH41" s="19"/>
      <c r="TUI41" s="16"/>
      <c r="TUJ41" s="18"/>
      <c r="TUK41" s="13"/>
      <c r="TUL41" s="12"/>
      <c r="TUM41" s="18"/>
      <c r="TUN41" s="12"/>
      <c r="TUO41" s="19"/>
      <c r="TUP41" s="16"/>
      <c r="TUQ41" s="18"/>
      <c r="TUR41" s="13"/>
      <c r="TUS41" s="12"/>
      <c r="TUT41" s="18"/>
      <c r="TUU41" s="12"/>
      <c r="TUV41" s="19"/>
      <c r="TUW41" s="16"/>
      <c r="TUX41" s="18"/>
      <c r="TUY41" s="13"/>
      <c r="TUZ41" s="12"/>
      <c r="TVA41" s="18"/>
      <c r="TVB41" s="12"/>
      <c r="TVC41" s="19"/>
      <c r="TVD41" s="16"/>
      <c r="TVE41" s="18"/>
      <c r="TVF41" s="13"/>
      <c r="TVG41" s="12"/>
      <c r="TVH41" s="18"/>
      <c r="TVI41" s="12"/>
      <c r="TVJ41" s="19"/>
      <c r="TVK41" s="16"/>
      <c r="TVL41" s="18"/>
      <c r="TVM41" s="13"/>
      <c r="TVN41" s="12"/>
      <c r="TVO41" s="18"/>
      <c r="TVP41" s="12"/>
      <c r="TVQ41" s="19"/>
      <c r="TVR41" s="16"/>
      <c r="TVS41" s="18"/>
      <c r="TVT41" s="13"/>
      <c r="TVU41" s="12"/>
      <c r="TVV41" s="18"/>
      <c r="TVW41" s="12"/>
      <c r="TVX41" s="19"/>
      <c r="TVY41" s="16"/>
      <c r="TVZ41" s="18"/>
      <c r="TWA41" s="13"/>
      <c r="TWB41" s="12"/>
      <c r="TWC41" s="18"/>
      <c r="TWD41" s="12"/>
      <c r="TWE41" s="19"/>
      <c r="TWF41" s="16"/>
      <c r="TWG41" s="18"/>
      <c r="TWH41" s="13"/>
      <c r="TWI41" s="12"/>
      <c r="TWJ41" s="18"/>
      <c r="TWK41" s="12"/>
      <c r="TWL41" s="19"/>
      <c r="TWM41" s="16"/>
      <c r="TWN41" s="18"/>
      <c r="TWO41" s="13"/>
      <c r="TWP41" s="12"/>
      <c r="TWQ41" s="18"/>
      <c r="TWR41" s="12"/>
      <c r="TWS41" s="19"/>
      <c r="TWT41" s="16"/>
      <c r="TWU41" s="18"/>
      <c r="TWV41" s="13"/>
      <c r="TWW41" s="12"/>
      <c r="TWX41" s="18"/>
      <c r="TWY41" s="12"/>
      <c r="TWZ41" s="19"/>
      <c r="TXA41" s="16"/>
      <c r="TXB41" s="18"/>
      <c r="TXC41" s="13"/>
      <c r="TXD41" s="12"/>
      <c r="TXE41" s="18"/>
      <c r="TXF41" s="12"/>
      <c r="TXG41" s="19"/>
      <c r="TXH41" s="16"/>
      <c r="TXI41" s="18"/>
      <c r="TXJ41" s="13"/>
      <c r="TXK41" s="12"/>
      <c r="TXL41" s="18"/>
      <c r="TXM41" s="12"/>
      <c r="TXN41" s="19"/>
      <c r="TXO41" s="16"/>
      <c r="TXP41" s="18"/>
      <c r="TXQ41" s="13"/>
      <c r="TXR41" s="12"/>
      <c r="TXS41" s="18"/>
      <c r="TXT41" s="12"/>
      <c r="TXU41" s="19"/>
      <c r="TXV41" s="16"/>
      <c r="TXW41" s="18"/>
      <c r="TXX41" s="13"/>
      <c r="TXY41" s="12"/>
      <c r="TXZ41" s="18"/>
      <c r="TYA41" s="12"/>
      <c r="TYB41" s="19"/>
      <c r="TYC41" s="16"/>
      <c r="TYD41" s="18"/>
      <c r="TYE41" s="13"/>
      <c r="TYF41" s="12"/>
      <c r="TYG41" s="18"/>
      <c r="TYH41" s="12"/>
      <c r="TYI41" s="19"/>
      <c r="TYJ41" s="16"/>
      <c r="TYK41" s="18"/>
      <c r="TYL41" s="13"/>
      <c r="TYM41" s="12"/>
      <c r="TYN41" s="18"/>
      <c r="TYO41" s="12"/>
      <c r="TYP41" s="19"/>
      <c r="TYQ41" s="16"/>
      <c r="TYR41" s="18"/>
      <c r="TYS41" s="13"/>
      <c r="TYT41" s="12"/>
      <c r="TYU41" s="18"/>
      <c r="TYV41" s="12"/>
      <c r="TYW41" s="19"/>
      <c r="TYX41" s="16"/>
      <c r="TYY41" s="18"/>
      <c r="TYZ41" s="13"/>
      <c r="TZA41" s="12"/>
      <c r="TZB41" s="18"/>
      <c r="TZC41" s="12"/>
      <c r="TZD41" s="19"/>
      <c r="TZE41" s="16"/>
      <c r="TZF41" s="18"/>
      <c r="TZG41" s="13"/>
      <c r="TZH41" s="12"/>
      <c r="TZI41" s="18"/>
      <c r="TZJ41" s="12"/>
      <c r="TZK41" s="19"/>
      <c r="TZL41" s="16"/>
      <c r="TZM41" s="18"/>
      <c r="TZN41" s="13"/>
      <c r="TZO41" s="12"/>
      <c r="TZP41" s="18"/>
      <c r="TZQ41" s="12"/>
      <c r="TZR41" s="19"/>
      <c r="TZS41" s="16"/>
      <c r="TZT41" s="18"/>
      <c r="TZU41" s="13"/>
      <c r="TZV41" s="12"/>
      <c r="TZW41" s="18"/>
      <c r="TZX41" s="12"/>
      <c r="TZY41" s="19"/>
      <c r="TZZ41" s="16"/>
      <c r="UAA41" s="18"/>
      <c r="UAB41" s="13"/>
      <c r="UAC41" s="12"/>
      <c r="UAD41" s="18"/>
      <c r="UAE41" s="12"/>
      <c r="UAF41" s="19"/>
      <c r="UAG41" s="16"/>
      <c r="UAH41" s="18"/>
      <c r="UAI41" s="13"/>
      <c r="UAJ41" s="12"/>
      <c r="UAK41" s="18"/>
      <c r="UAL41" s="12"/>
      <c r="UAM41" s="19"/>
      <c r="UAN41" s="16"/>
      <c r="UAO41" s="18"/>
      <c r="UAP41" s="13"/>
      <c r="UAQ41" s="12"/>
      <c r="UAR41" s="18"/>
      <c r="UAS41" s="12"/>
      <c r="UAT41" s="19"/>
      <c r="UAU41" s="16"/>
      <c r="UAV41" s="18"/>
      <c r="UAW41" s="13"/>
      <c r="UAX41" s="12"/>
      <c r="UAY41" s="18"/>
      <c r="UAZ41" s="12"/>
      <c r="UBA41" s="19"/>
      <c r="UBB41" s="16"/>
      <c r="UBC41" s="18"/>
      <c r="UBD41" s="13"/>
      <c r="UBE41" s="12"/>
      <c r="UBF41" s="18"/>
      <c r="UBG41" s="12"/>
      <c r="UBH41" s="19"/>
      <c r="UBI41" s="16"/>
      <c r="UBJ41" s="18"/>
      <c r="UBK41" s="13"/>
      <c r="UBL41" s="12"/>
      <c r="UBM41" s="18"/>
      <c r="UBN41" s="12"/>
      <c r="UBO41" s="19"/>
      <c r="UBP41" s="16"/>
      <c r="UBQ41" s="18"/>
      <c r="UBR41" s="13"/>
      <c r="UBS41" s="12"/>
      <c r="UBT41" s="18"/>
      <c r="UBU41" s="12"/>
      <c r="UBV41" s="19"/>
      <c r="UBW41" s="16"/>
      <c r="UBX41" s="18"/>
      <c r="UBY41" s="13"/>
      <c r="UBZ41" s="12"/>
      <c r="UCA41" s="18"/>
      <c r="UCB41" s="12"/>
      <c r="UCC41" s="19"/>
      <c r="UCD41" s="16"/>
      <c r="UCE41" s="18"/>
      <c r="UCF41" s="13"/>
      <c r="UCG41" s="12"/>
      <c r="UCH41" s="18"/>
      <c r="UCI41" s="12"/>
      <c r="UCJ41" s="19"/>
      <c r="UCK41" s="16"/>
      <c r="UCL41" s="18"/>
      <c r="UCM41" s="13"/>
      <c r="UCN41" s="12"/>
      <c r="UCO41" s="18"/>
      <c r="UCP41" s="12"/>
      <c r="UCQ41" s="19"/>
      <c r="UCR41" s="16"/>
      <c r="UCS41" s="18"/>
      <c r="UCT41" s="13"/>
      <c r="UCU41" s="12"/>
      <c r="UCV41" s="18"/>
      <c r="UCW41" s="12"/>
      <c r="UCX41" s="19"/>
      <c r="UCY41" s="16"/>
      <c r="UCZ41" s="18"/>
      <c r="UDA41" s="13"/>
      <c r="UDB41" s="12"/>
      <c r="UDC41" s="18"/>
      <c r="UDD41" s="12"/>
      <c r="UDE41" s="19"/>
      <c r="UDF41" s="16"/>
      <c r="UDG41" s="18"/>
      <c r="UDH41" s="13"/>
      <c r="UDI41" s="12"/>
      <c r="UDJ41" s="18"/>
      <c r="UDK41" s="12"/>
      <c r="UDL41" s="19"/>
      <c r="UDM41" s="16"/>
      <c r="UDN41" s="18"/>
      <c r="UDO41" s="13"/>
      <c r="UDP41" s="12"/>
      <c r="UDQ41" s="18"/>
      <c r="UDR41" s="12"/>
      <c r="UDS41" s="19"/>
      <c r="UDT41" s="16"/>
      <c r="UDU41" s="18"/>
      <c r="UDV41" s="13"/>
      <c r="UDW41" s="12"/>
      <c r="UDX41" s="18"/>
      <c r="UDY41" s="12"/>
      <c r="UDZ41" s="19"/>
      <c r="UEA41" s="16"/>
      <c r="UEB41" s="18"/>
      <c r="UEC41" s="13"/>
      <c r="UED41" s="12"/>
      <c r="UEE41" s="18"/>
      <c r="UEF41" s="12"/>
      <c r="UEG41" s="19"/>
      <c r="UEH41" s="16"/>
      <c r="UEI41" s="18"/>
      <c r="UEJ41" s="13"/>
      <c r="UEK41" s="12"/>
      <c r="UEL41" s="18"/>
      <c r="UEM41" s="12"/>
      <c r="UEN41" s="19"/>
      <c r="UEO41" s="16"/>
      <c r="UEP41" s="18"/>
      <c r="UEQ41" s="13"/>
      <c r="UER41" s="12"/>
      <c r="UES41" s="18"/>
      <c r="UET41" s="12"/>
      <c r="UEU41" s="19"/>
      <c r="UEV41" s="16"/>
      <c r="UEW41" s="18"/>
      <c r="UEX41" s="13"/>
      <c r="UEY41" s="12"/>
      <c r="UEZ41" s="18"/>
      <c r="UFA41" s="12"/>
      <c r="UFB41" s="19"/>
      <c r="UFC41" s="16"/>
      <c r="UFD41" s="18"/>
      <c r="UFE41" s="13"/>
      <c r="UFF41" s="12"/>
      <c r="UFG41" s="18"/>
      <c r="UFH41" s="12"/>
      <c r="UFI41" s="19"/>
      <c r="UFJ41" s="16"/>
      <c r="UFK41" s="18"/>
      <c r="UFL41" s="13"/>
      <c r="UFM41" s="12"/>
      <c r="UFN41" s="18"/>
      <c r="UFO41" s="12"/>
      <c r="UFP41" s="19"/>
      <c r="UFQ41" s="16"/>
      <c r="UFR41" s="18"/>
      <c r="UFS41" s="13"/>
      <c r="UFT41" s="12"/>
      <c r="UFU41" s="18"/>
      <c r="UFV41" s="12"/>
      <c r="UFW41" s="19"/>
      <c r="UFX41" s="16"/>
      <c r="UFY41" s="18"/>
      <c r="UFZ41" s="13"/>
      <c r="UGA41" s="12"/>
      <c r="UGB41" s="18"/>
      <c r="UGC41" s="12"/>
      <c r="UGD41" s="19"/>
      <c r="UGE41" s="16"/>
      <c r="UGF41" s="18"/>
      <c r="UGG41" s="13"/>
      <c r="UGH41" s="12"/>
      <c r="UGI41" s="18"/>
      <c r="UGJ41" s="12"/>
      <c r="UGK41" s="19"/>
      <c r="UGL41" s="16"/>
      <c r="UGM41" s="18"/>
      <c r="UGN41" s="13"/>
      <c r="UGO41" s="12"/>
      <c r="UGP41" s="18"/>
      <c r="UGQ41" s="12"/>
      <c r="UGR41" s="19"/>
      <c r="UGS41" s="16"/>
      <c r="UGT41" s="18"/>
      <c r="UGU41" s="13"/>
      <c r="UGV41" s="12"/>
      <c r="UGW41" s="18"/>
      <c r="UGX41" s="12"/>
      <c r="UGY41" s="19"/>
      <c r="UGZ41" s="16"/>
      <c r="UHA41" s="18"/>
      <c r="UHB41" s="13"/>
      <c r="UHC41" s="12"/>
      <c r="UHD41" s="18"/>
      <c r="UHE41" s="12"/>
      <c r="UHF41" s="19"/>
      <c r="UHG41" s="16"/>
      <c r="UHH41" s="18"/>
      <c r="UHI41" s="13"/>
      <c r="UHJ41" s="12"/>
      <c r="UHK41" s="18"/>
      <c r="UHL41" s="12"/>
      <c r="UHM41" s="19"/>
      <c r="UHN41" s="16"/>
      <c r="UHO41" s="18"/>
      <c r="UHP41" s="13"/>
      <c r="UHQ41" s="12"/>
      <c r="UHR41" s="18"/>
      <c r="UHS41" s="12"/>
      <c r="UHT41" s="19"/>
      <c r="UHU41" s="16"/>
      <c r="UHV41" s="18"/>
      <c r="UHW41" s="13"/>
      <c r="UHX41" s="12"/>
      <c r="UHY41" s="18"/>
      <c r="UHZ41" s="12"/>
      <c r="UIA41" s="19"/>
      <c r="UIB41" s="16"/>
      <c r="UIC41" s="18"/>
      <c r="UID41" s="13"/>
      <c r="UIE41" s="12"/>
      <c r="UIF41" s="18"/>
      <c r="UIG41" s="12"/>
      <c r="UIH41" s="19"/>
      <c r="UII41" s="16"/>
      <c r="UIJ41" s="18"/>
      <c r="UIK41" s="13"/>
      <c r="UIL41" s="12"/>
      <c r="UIM41" s="18"/>
      <c r="UIN41" s="12"/>
      <c r="UIO41" s="19"/>
      <c r="UIP41" s="16"/>
      <c r="UIQ41" s="18"/>
      <c r="UIR41" s="13"/>
      <c r="UIS41" s="12"/>
      <c r="UIT41" s="18"/>
      <c r="UIU41" s="12"/>
      <c r="UIV41" s="19"/>
      <c r="UIW41" s="16"/>
      <c r="UIX41" s="18"/>
      <c r="UIY41" s="13"/>
      <c r="UIZ41" s="12"/>
      <c r="UJA41" s="18"/>
      <c r="UJB41" s="12"/>
      <c r="UJC41" s="19"/>
      <c r="UJD41" s="16"/>
      <c r="UJE41" s="18"/>
      <c r="UJF41" s="13"/>
      <c r="UJG41" s="12"/>
      <c r="UJH41" s="18"/>
      <c r="UJI41" s="12"/>
      <c r="UJJ41" s="19"/>
      <c r="UJK41" s="16"/>
      <c r="UJL41" s="18"/>
      <c r="UJM41" s="13"/>
      <c r="UJN41" s="12"/>
      <c r="UJO41" s="18"/>
      <c r="UJP41" s="12"/>
      <c r="UJQ41" s="19"/>
      <c r="UJR41" s="16"/>
      <c r="UJS41" s="18"/>
      <c r="UJT41" s="13"/>
      <c r="UJU41" s="12"/>
      <c r="UJV41" s="18"/>
      <c r="UJW41" s="12"/>
      <c r="UJX41" s="19"/>
      <c r="UJY41" s="16"/>
      <c r="UJZ41" s="18"/>
      <c r="UKA41" s="13"/>
      <c r="UKB41" s="12"/>
      <c r="UKC41" s="18"/>
      <c r="UKD41" s="12"/>
      <c r="UKE41" s="19"/>
      <c r="UKF41" s="16"/>
      <c r="UKG41" s="18"/>
      <c r="UKH41" s="13"/>
      <c r="UKI41" s="12"/>
      <c r="UKJ41" s="18"/>
      <c r="UKK41" s="12"/>
      <c r="UKL41" s="19"/>
      <c r="UKM41" s="16"/>
      <c r="UKN41" s="18"/>
      <c r="UKO41" s="13"/>
      <c r="UKP41" s="12"/>
      <c r="UKQ41" s="18"/>
      <c r="UKR41" s="12"/>
      <c r="UKS41" s="19"/>
      <c r="UKT41" s="16"/>
      <c r="UKU41" s="18"/>
      <c r="UKV41" s="13"/>
      <c r="UKW41" s="12"/>
      <c r="UKX41" s="18"/>
      <c r="UKY41" s="12"/>
      <c r="UKZ41" s="19"/>
      <c r="ULA41" s="16"/>
      <c r="ULB41" s="18"/>
      <c r="ULC41" s="13"/>
      <c r="ULD41" s="12"/>
      <c r="ULE41" s="18"/>
      <c r="ULF41" s="12"/>
      <c r="ULG41" s="19"/>
      <c r="ULH41" s="16"/>
      <c r="ULI41" s="18"/>
      <c r="ULJ41" s="13"/>
      <c r="ULK41" s="12"/>
      <c r="ULL41" s="18"/>
      <c r="ULM41" s="12"/>
      <c r="ULN41" s="19"/>
      <c r="ULO41" s="16"/>
      <c r="ULP41" s="18"/>
      <c r="ULQ41" s="13"/>
      <c r="ULR41" s="12"/>
      <c r="ULS41" s="18"/>
      <c r="ULT41" s="12"/>
      <c r="ULU41" s="19"/>
      <c r="ULV41" s="16"/>
      <c r="ULW41" s="18"/>
      <c r="ULX41" s="13"/>
      <c r="ULY41" s="12"/>
      <c r="ULZ41" s="18"/>
      <c r="UMA41" s="12"/>
      <c r="UMB41" s="19"/>
      <c r="UMC41" s="16"/>
      <c r="UMD41" s="18"/>
      <c r="UME41" s="13"/>
      <c r="UMF41" s="12"/>
      <c r="UMG41" s="18"/>
      <c r="UMH41" s="12"/>
      <c r="UMI41" s="19"/>
      <c r="UMJ41" s="16"/>
      <c r="UMK41" s="18"/>
      <c r="UML41" s="13"/>
      <c r="UMM41" s="12"/>
      <c r="UMN41" s="18"/>
      <c r="UMO41" s="12"/>
      <c r="UMP41" s="19"/>
      <c r="UMQ41" s="16"/>
      <c r="UMR41" s="18"/>
      <c r="UMS41" s="13"/>
      <c r="UMT41" s="12"/>
      <c r="UMU41" s="18"/>
      <c r="UMV41" s="12"/>
      <c r="UMW41" s="19"/>
      <c r="UMX41" s="16"/>
      <c r="UMY41" s="18"/>
      <c r="UMZ41" s="13"/>
      <c r="UNA41" s="12"/>
      <c r="UNB41" s="18"/>
      <c r="UNC41" s="12"/>
      <c r="UND41" s="19"/>
      <c r="UNE41" s="16"/>
      <c r="UNF41" s="18"/>
      <c r="UNG41" s="13"/>
      <c r="UNH41" s="12"/>
      <c r="UNI41" s="18"/>
      <c r="UNJ41" s="12"/>
      <c r="UNK41" s="19"/>
      <c r="UNL41" s="16"/>
      <c r="UNM41" s="18"/>
      <c r="UNN41" s="13"/>
      <c r="UNO41" s="12"/>
      <c r="UNP41" s="18"/>
      <c r="UNQ41" s="12"/>
      <c r="UNR41" s="19"/>
      <c r="UNS41" s="16"/>
      <c r="UNT41" s="18"/>
      <c r="UNU41" s="13"/>
      <c r="UNV41" s="12"/>
      <c r="UNW41" s="18"/>
      <c r="UNX41" s="12"/>
      <c r="UNY41" s="19"/>
      <c r="UNZ41" s="16"/>
      <c r="UOA41" s="18"/>
      <c r="UOB41" s="13"/>
      <c r="UOC41" s="12"/>
      <c r="UOD41" s="18"/>
      <c r="UOE41" s="12"/>
      <c r="UOF41" s="19"/>
      <c r="UOG41" s="16"/>
      <c r="UOH41" s="18"/>
      <c r="UOI41" s="13"/>
      <c r="UOJ41" s="12"/>
      <c r="UOK41" s="18"/>
      <c r="UOL41" s="12"/>
      <c r="UOM41" s="19"/>
      <c r="UON41" s="16"/>
      <c r="UOO41" s="18"/>
      <c r="UOP41" s="13"/>
      <c r="UOQ41" s="12"/>
      <c r="UOR41" s="18"/>
      <c r="UOS41" s="12"/>
      <c r="UOT41" s="19"/>
      <c r="UOU41" s="16"/>
      <c r="UOV41" s="18"/>
      <c r="UOW41" s="13"/>
      <c r="UOX41" s="12"/>
      <c r="UOY41" s="18"/>
      <c r="UOZ41" s="12"/>
      <c r="UPA41" s="19"/>
      <c r="UPB41" s="16"/>
      <c r="UPC41" s="18"/>
      <c r="UPD41" s="13"/>
      <c r="UPE41" s="12"/>
      <c r="UPF41" s="18"/>
      <c r="UPG41" s="12"/>
      <c r="UPH41" s="19"/>
      <c r="UPI41" s="16"/>
      <c r="UPJ41" s="18"/>
      <c r="UPK41" s="13"/>
      <c r="UPL41" s="12"/>
      <c r="UPM41" s="18"/>
      <c r="UPN41" s="12"/>
      <c r="UPO41" s="19"/>
      <c r="UPP41" s="16"/>
      <c r="UPQ41" s="18"/>
      <c r="UPR41" s="13"/>
      <c r="UPS41" s="12"/>
      <c r="UPT41" s="18"/>
      <c r="UPU41" s="12"/>
      <c r="UPV41" s="19"/>
      <c r="UPW41" s="16"/>
      <c r="UPX41" s="18"/>
      <c r="UPY41" s="13"/>
      <c r="UPZ41" s="12"/>
      <c r="UQA41" s="18"/>
      <c r="UQB41" s="12"/>
      <c r="UQC41" s="19"/>
      <c r="UQD41" s="16"/>
      <c r="UQE41" s="18"/>
      <c r="UQF41" s="13"/>
      <c r="UQG41" s="12"/>
      <c r="UQH41" s="18"/>
      <c r="UQI41" s="12"/>
      <c r="UQJ41" s="19"/>
      <c r="UQK41" s="16"/>
      <c r="UQL41" s="18"/>
      <c r="UQM41" s="13"/>
      <c r="UQN41" s="12"/>
      <c r="UQO41" s="18"/>
      <c r="UQP41" s="12"/>
      <c r="UQQ41" s="19"/>
      <c r="UQR41" s="16"/>
      <c r="UQS41" s="18"/>
      <c r="UQT41" s="13"/>
      <c r="UQU41" s="12"/>
      <c r="UQV41" s="18"/>
      <c r="UQW41" s="12"/>
      <c r="UQX41" s="19"/>
      <c r="UQY41" s="16"/>
      <c r="UQZ41" s="18"/>
      <c r="URA41" s="13"/>
      <c r="URB41" s="12"/>
      <c r="URC41" s="18"/>
      <c r="URD41" s="12"/>
      <c r="URE41" s="19"/>
      <c r="URF41" s="16"/>
      <c r="URG41" s="18"/>
      <c r="URH41" s="13"/>
      <c r="URI41" s="12"/>
      <c r="URJ41" s="18"/>
      <c r="URK41" s="12"/>
      <c r="URL41" s="19"/>
      <c r="URM41" s="16"/>
      <c r="URN41" s="18"/>
      <c r="URO41" s="13"/>
      <c r="URP41" s="12"/>
      <c r="URQ41" s="18"/>
      <c r="URR41" s="12"/>
      <c r="URS41" s="19"/>
      <c r="URT41" s="16"/>
      <c r="URU41" s="18"/>
      <c r="URV41" s="13"/>
      <c r="URW41" s="12"/>
      <c r="URX41" s="18"/>
      <c r="URY41" s="12"/>
      <c r="URZ41" s="19"/>
      <c r="USA41" s="16"/>
      <c r="USB41" s="18"/>
      <c r="USC41" s="13"/>
      <c r="USD41" s="12"/>
      <c r="USE41" s="18"/>
      <c r="USF41" s="12"/>
      <c r="USG41" s="19"/>
      <c r="USH41" s="16"/>
      <c r="USI41" s="18"/>
      <c r="USJ41" s="13"/>
      <c r="USK41" s="12"/>
      <c r="USL41" s="18"/>
      <c r="USM41" s="12"/>
      <c r="USN41" s="19"/>
      <c r="USO41" s="16"/>
      <c r="USP41" s="18"/>
      <c r="USQ41" s="13"/>
      <c r="USR41" s="12"/>
      <c r="USS41" s="18"/>
      <c r="UST41" s="12"/>
      <c r="USU41" s="19"/>
      <c r="USV41" s="16"/>
      <c r="USW41" s="18"/>
      <c r="USX41" s="13"/>
      <c r="USY41" s="12"/>
      <c r="USZ41" s="18"/>
      <c r="UTA41" s="12"/>
      <c r="UTB41" s="19"/>
      <c r="UTC41" s="16"/>
      <c r="UTD41" s="18"/>
      <c r="UTE41" s="13"/>
      <c r="UTF41" s="12"/>
      <c r="UTG41" s="18"/>
      <c r="UTH41" s="12"/>
      <c r="UTI41" s="19"/>
      <c r="UTJ41" s="16"/>
      <c r="UTK41" s="18"/>
      <c r="UTL41" s="13"/>
      <c r="UTM41" s="12"/>
      <c r="UTN41" s="18"/>
      <c r="UTO41" s="12"/>
      <c r="UTP41" s="19"/>
      <c r="UTQ41" s="16"/>
      <c r="UTR41" s="18"/>
      <c r="UTS41" s="13"/>
      <c r="UTT41" s="12"/>
      <c r="UTU41" s="18"/>
      <c r="UTV41" s="12"/>
      <c r="UTW41" s="19"/>
      <c r="UTX41" s="16"/>
      <c r="UTY41" s="18"/>
      <c r="UTZ41" s="13"/>
      <c r="UUA41" s="12"/>
      <c r="UUB41" s="18"/>
      <c r="UUC41" s="12"/>
      <c r="UUD41" s="19"/>
      <c r="UUE41" s="16"/>
      <c r="UUF41" s="18"/>
      <c r="UUG41" s="13"/>
      <c r="UUH41" s="12"/>
      <c r="UUI41" s="18"/>
      <c r="UUJ41" s="12"/>
      <c r="UUK41" s="19"/>
      <c r="UUL41" s="16"/>
      <c r="UUM41" s="18"/>
      <c r="UUN41" s="13"/>
      <c r="UUO41" s="12"/>
      <c r="UUP41" s="18"/>
      <c r="UUQ41" s="12"/>
      <c r="UUR41" s="19"/>
      <c r="UUS41" s="16"/>
      <c r="UUT41" s="18"/>
      <c r="UUU41" s="13"/>
      <c r="UUV41" s="12"/>
      <c r="UUW41" s="18"/>
      <c r="UUX41" s="12"/>
      <c r="UUY41" s="19"/>
      <c r="UUZ41" s="16"/>
      <c r="UVA41" s="18"/>
      <c r="UVB41" s="13"/>
      <c r="UVC41" s="12"/>
      <c r="UVD41" s="18"/>
      <c r="UVE41" s="12"/>
      <c r="UVF41" s="19"/>
      <c r="UVG41" s="16"/>
      <c r="UVH41" s="18"/>
      <c r="UVI41" s="13"/>
      <c r="UVJ41" s="12"/>
      <c r="UVK41" s="18"/>
      <c r="UVL41" s="12"/>
      <c r="UVM41" s="19"/>
      <c r="UVN41" s="16"/>
      <c r="UVO41" s="18"/>
      <c r="UVP41" s="13"/>
      <c r="UVQ41" s="12"/>
      <c r="UVR41" s="18"/>
      <c r="UVS41" s="12"/>
      <c r="UVT41" s="19"/>
      <c r="UVU41" s="16"/>
      <c r="UVV41" s="18"/>
      <c r="UVW41" s="13"/>
      <c r="UVX41" s="12"/>
      <c r="UVY41" s="18"/>
      <c r="UVZ41" s="12"/>
      <c r="UWA41" s="19"/>
      <c r="UWB41" s="16"/>
      <c r="UWC41" s="18"/>
      <c r="UWD41" s="13"/>
      <c r="UWE41" s="12"/>
      <c r="UWF41" s="18"/>
      <c r="UWG41" s="12"/>
      <c r="UWH41" s="19"/>
      <c r="UWI41" s="16"/>
      <c r="UWJ41" s="18"/>
      <c r="UWK41" s="13"/>
      <c r="UWL41" s="12"/>
      <c r="UWM41" s="18"/>
      <c r="UWN41" s="12"/>
      <c r="UWO41" s="19"/>
      <c r="UWP41" s="16"/>
      <c r="UWQ41" s="18"/>
      <c r="UWR41" s="13"/>
      <c r="UWS41" s="12"/>
      <c r="UWT41" s="18"/>
      <c r="UWU41" s="12"/>
      <c r="UWV41" s="19"/>
      <c r="UWW41" s="16"/>
      <c r="UWX41" s="18"/>
      <c r="UWY41" s="13"/>
      <c r="UWZ41" s="12"/>
      <c r="UXA41" s="18"/>
      <c r="UXB41" s="12"/>
      <c r="UXC41" s="19"/>
      <c r="UXD41" s="16"/>
      <c r="UXE41" s="18"/>
      <c r="UXF41" s="13"/>
      <c r="UXG41" s="12"/>
      <c r="UXH41" s="18"/>
      <c r="UXI41" s="12"/>
      <c r="UXJ41" s="19"/>
      <c r="UXK41" s="16"/>
      <c r="UXL41" s="18"/>
      <c r="UXM41" s="13"/>
      <c r="UXN41" s="12"/>
      <c r="UXO41" s="18"/>
      <c r="UXP41" s="12"/>
      <c r="UXQ41" s="19"/>
      <c r="UXR41" s="16"/>
      <c r="UXS41" s="18"/>
      <c r="UXT41" s="13"/>
      <c r="UXU41" s="12"/>
      <c r="UXV41" s="18"/>
      <c r="UXW41" s="12"/>
      <c r="UXX41" s="19"/>
      <c r="UXY41" s="16"/>
      <c r="UXZ41" s="18"/>
      <c r="UYA41" s="13"/>
      <c r="UYB41" s="12"/>
      <c r="UYC41" s="18"/>
      <c r="UYD41" s="12"/>
      <c r="UYE41" s="19"/>
      <c r="UYF41" s="16"/>
      <c r="UYG41" s="18"/>
      <c r="UYH41" s="13"/>
      <c r="UYI41" s="12"/>
      <c r="UYJ41" s="18"/>
      <c r="UYK41" s="12"/>
      <c r="UYL41" s="19"/>
      <c r="UYM41" s="16"/>
      <c r="UYN41" s="18"/>
      <c r="UYO41" s="13"/>
      <c r="UYP41" s="12"/>
      <c r="UYQ41" s="18"/>
      <c r="UYR41" s="12"/>
      <c r="UYS41" s="19"/>
      <c r="UYT41" s="16"/>
      <c r="UYU41" s="18"/>
      <c r="UYV41" s="13"/>
      <c r="UYW41" s="12"/>
      <c r="UYX41" s="18"/>
      <c r="UYY41" s="12"/>
      <c r="UYZ41" s="19"/>
      <c r="UZA41" s="16"/>
      <c r="UZB41" s="18"/>
      <c r="UZC41" s="13"/>
      <c r="UZD41" s="12"/>
      <c r="UZE41" s="18"/>
      <c r="UZF41" s="12"/>
      <c r="UZG41" s="19"/>
      <c r="UZH41" s="16"/>
      <c r="UZI41" s="18"/>
      <c r="UZJ41" s="13"/>
      <c r="UZK41" s="12"/>
      <c r="UZL41" s="18"/>
      <c r="UZM41" s="12"/>
      <c r="UZN41" s="19"/>
      <c r="UZO41" s="16"/>
      <c r="UZP41" s="18"/>
      <c r="UZQ41" s="13"/>
      <c r="UZR41" s="12"/>
      <c r="UZS41" s="18"/>
      <c r="UZT41" s="12"/>
      <c r="UZU41" s="19"/>
      <c r="UZV41" s="16"/>
      <c r="UZW41" s="18"/>
      <c r="UZX41" s="13"/>
      <c r="UZY41" s="12"/>
      <c r="UZZ41" s="18"/>
      <c r="VAA41" s="12"/>
      <c r="VAB41" s="19"/>
      <c r="VAC41" s="16"/>
      <c r="VAD41" s="18"/>
      <c r="VAE41" s="13"/>
      <c r="VAF41" s="12"/>
      <c r="VAG41" s="18"/>
      <c r="VAH41" s="12"/>
      <c r="VAI41" s="19"/>
      <c r="VAJ41" s="16"/>
      <c r="VAK41" s="18"/>
      <c r="VAL41" s="13"/>
      <c r="VAM41" s="12"/>
      <c r="VAN41" s="18"/>
      <c r="VAO41" s="12"/>
      <c r="VAP41" s="19"/>
      <c r="VAQ41" s="16"/>
      <c r="VAR41" s="18"/>
      <c r="VAS41" s="13"/>
      <c r="VAT41" s="12"/>
      <c r="VAU41" s="18"/>
      <c r="VAV41" s="12"/>
      <c r="VAW41" s="19"/>
      <c r="VAX41" s="16"/>
      <c r="VAY41" s="18"/>
      <c r="VAZ41" s="13"/>
      <c r="VBA41" s="12"/>
      <c r="VBB41" s="18"/>
      <c r="VBC41" s="12"/>
      <c r="VBD41" s="19"/>
      <c r="VBE41" s="16"/>
      <c r="VBF41" s="18"/>
      <c r="VBG41" s="13"/>
      <c r="VBH41" s="12"/>
      <c r="VBI41" s="18"/>
      <c r="VBJ41" s="12"/>
      <c r="VBK41" s="19"/>
      <c r="VBL41" s="16"/>
      <c r="VBM41" s="18"/>
      <c r="VBN41" s="13"/>
      <c r="VBO41" s="12"/>
      <c r="VBP41" s="18"/>
      <c r="VBQ41" s="12"/>
      <c r="VBR41" s="19"/>
      <c r="VBS41" s="16"/>
      <c r="VBT41" s="18"/>
      <c r="VBU41" s="13"/>
      <c r="VBV41" s="12"/>
      <c r="VBW41" s="18"/>
      <c r="VBX41" s="12"/>
      <c r="VBY41" s="19"/>
      <c r="VBZ41" s="16"/>
      <c r="VCA41" s="18"/>
      <c r="VCB41" s="13"/>
      <c r="VCC41" s="12"/>
      <c r="VCD41" s="18"/>
      <c r="VCE41" s="12"/>
      <c r="VCF41" s="19"/>
      <c r="VCG41" s="16"/>
      <c r="VCH41" s="18"/>
      <c r="VCI41" s="13"/>
      <c r="VCJ41" s="12"/>
      <c r="VCK41" s="18"/>
      <c r="VCL41" s="12"/>
      <c r="VCM41" s="19"/>
      <c r="VCN41" s="16"/>
      <c r="VCO41" s="18"/>
      <c r="VCP41" s="13"/>
      <c r="VCQ41" s="12"/>
      <c r="VCR41" s="18"/>
      <c r="VCS41" s="12"/>
      <c r="VCT41" s="19"/>
      <c r="VCU41" s="16"/>
      <c r="VCV41" s="18"/>
      <c r="VCW41" s="13"/>
      <c r="VCX41" s="12"/>
      <c r="VCY41" s="18"/>
      <c r="VCZ41" s="12"/>
      <c r="VDA41" s="19"/>
      <c r="VDB41" s="16"/>
      <c r="VDC41" s="18"/>
      <c r="VDD41" s="13"/>
      <c r="VDE41" s="12"/>
      <c r="VDF41" s="18"/>
      <c r="VDG41" s="12"/>
      <c r="VDH41" s="19"/>
      <c r="VDI41" s="16"/>
      <c r="VDJ41" s="18"/>
      <c r="VDK41" s="13"/>
      <c r="VDL41" s="12"/>
      <c r="VDM41" s="18"/>
      <c r="VDN41" s="12"/>
      <c r="VDO41" s="19"/>
      <c r="VDP41" s="16"/>
      <c r="VDQ41" s="18"/>
      <c r="VDR41" s="13"/>
      <c r="VDS41" s="12"/>
      <c r="VDT41" s="18"/>
      <c r="VDU41" s="12"/>
      <c r="VDV41" s="19"/>
      <c r="VDW41" s="16"/>
      <c r="VDX41" s="18"/>
      <c r="VDY41" s="13"/>
      <c r="VDZ41" s="12"/>
      <c r="VEA41" s="18"/>
      <c r="VEB41" s="12"/>
      <c r="VEC41" s="19"/>
      <c r="VED41" s="16"/>
      <c r="VEE41" s="18"/>
      <c r="VEF41" s="13"/>
      <c r="VEG41" s="12"/>
      <c r="VEH41" s="18"/>
      <c r="VEI41" s="12"/>
      <c r="VEJ41" s="19"/>
      <c r="VEK41" s="16"/>
      <c r="VEL41" s="18"/>
      <c r="VEM41" s="13"/>
      <c r="VEN41" s="12"/>
      <c r="VEO41" s="18"/>
      <c r="VEP41" s="12"/>
      <c r="VEQ41" s="19"/>
      <c r="VER41" s="16"/>
      <c r="VES41" s="18"/>
      <c r="VET41" s="13"/>
      <c r="VEU41" s="12"/>
      <c r="VEV41" s="18"/>
      <c r="VEW41" s="12"/>
      <c r="VEX41" s="19"/>
      <c r="VEY41" s="16"/>
      <c r="VEZ41" s="18"/>
      <c r="VFA41" s="13"/>
      <c r="VFB41" s="12"/>
      <c r="VFC41" s="18"/>
      <c r="VFD41" s="12"/>
      <c r="VFE41" s="19"/>
      <c r="VFF41" s="16"/>
      <c r="VFG41" s="18"/>
      <c r="VFH41" s="13"/>
      <c r="VFI41" s="12"/>
      <c r="VFJ41" s="18"/>
      <c r="VFK41" s="12"/>
      <c r="VFL41" s="19"/>
      <c r="VFM41" s="16"/>
      <c r="VFN41" s="18"/>
      <c r="VFO41" s="13"/>
      <c r="VFP41" s="12"/>
      <c r="VFQ41" s="18"/>
      <c r="VFR41" s="12"/>
      <c r="VFS41" s="19"/>
      <c r="VFT41" s="16"/>
      <c r="VFU41" s="18"/>
      <c r="VFV41" s="13"/>
      <c r="VFW41" s="12"/>
      <c r="VFX41" s="18"/>
      <c r="VFY41" s="12"/>
      <c r="VFZ41" s="19"/>
      <c r="VGA41" s="16"/>
      <c r="VGB41" s="18"/>
      <c r="VGC41" s="13"/>
      <c r="VGD41" s="12"/>
      <c r="VGE41" s="18"/>
      <c r="VGF41" s="12"/>
      <c r="VGG41" s="19"/>
      <c r="VGH41" s="16"/>
      <c r="VGI41" s="18"/>
      <c r="VGJ41" s="13"/>
      <c r="VGK41" s="12"/>
      <c r="VGL41" s="18"/>
      <c r="VGM41" s="12"/>
      <c r="VGN41" s="19"/>
      <c r="VGO41" s="16"/>
      <c r="VGP41" s="18"/>
      <c r="VGQ41" s="13"/>
      <c r="VGR41" s="12"/>
      <c r="VGS41" s="18"/>
      <c r="VGT41" s="12"/>
      <c r="VGU41" s="19"/>
      <c r="VGV41" s="16"/>
      <c r="VGW41" s="18"/>
      <c r="VGX41" s="13"/>
      <c r="VGY41" s="12"/>
      <c r="VGZ41" s="18"/>
      <c r="VHA41" s="12"/>
      <c r="VHB41" s="19"/>
      <c r="VHC41" s="16"/>
      <c r="VHD41" s="18"/>
      <c r="VHE41" s="13"/>
      <c r="VHF41" s="12"/>
      <c r="VHG41" s="18"/>
      <c r="VHH41" s="12"/>
      <c r="VHI41" s="19"/>
      <c r="VHJ41" s="16"/>
      <c r="VHK41" s="18"/>
      <c r="VHL41" s="13"/>
      <c r="VHM41" s="12"/>
      <c r="VHN41" s="18"/>
      <c r="VHO41" s="12"/>
      <c r="VHP41" s="19"/>
      <c r="VHQ41" s="16"/>
      <c r="VHR41" s="18"/>
      <c r="VHS41" s="13"/>
      <c r="VHT41" s="12"/>
      <c r="VHU41" s="18"/>
      <c r="VHV41" s="12"/>
      <c r="VHW41" s="19"/>
      <c r="VHX41" s="16"/>
      <c r="VHY41" s="18"/>
      <c r="VHZ41" s="13"/>
      <c r="VIA41" s="12"/>
      <c r="VIB41" s="18"/>
      <c r="VIC41" s="12"/>
      <c r="VID41" s="19"/>
      <c r="VIE41" s="16"/>
      <c r="VIF41" s="18"/>
      <c r="VIG41" s="13"/>
      <c r="VIH41" s="12"/>
      <c r="VII41" s="18"/>
      <c r="VIJ41" s="12"/>
      <c r="VIK41" s="19"/>
      <c r="VIL41" s="16"/>
      <c r="VIM41" s="18"/>
      <c r="VIN41" s="13"/>
      <c r="VIO41" s="12"/>
      <c r="VIP41" s="18"/>
      <c r="VIQ41" s="12"/>
      <c r="VIR41" s="19"/>
      <c r="VIS41" s="16"/>
      <c r="VIT41" s="18"/>
      <c r="VIU41" s="13"/>
      <c r="VIV41" s="12"/>
      <c r="VIW41" s="18"/>
      <c r="VIX41" s="12"/>
      <c r="VIY41" s="19"/>
      <c r="VIZ41" s="16"/>
      <c r="VJA41" s="18"/>
      <c r="VJB41" s="13"/>
      <c r="VJC41" s="12"/>
      <c r="VJD41" s="18"/>
      <c r="VJE41" s="12"/>
      <c r="VJF41" s="19"/>
      <c r="VJG41" s="16"/>
      <c r="VJH41" s="18"/>
      <c r="VJI41" s="13"/>
      <c r="VJJ41" s="12"/>
      <c r="VJK41" s="18"/>
      <c r="VJL41" s="12"/>
      <c r="VJM41" s="19"/>
      <c r="VJN41" s="16"/>
      <c r="VJO41" s="18"/>
      <c r="VJP41" s="13"/>
      <c r="VJQ41" s="12"/>
      <c r="VJR41" s="18"/>
      <c r="VJS41" s="12"/>
      <c r="VJT41" s="19"/>
      <c r="VJU41" s="16"/>
      <c r="VJV41" s="18"/>
      <c r="VJW41" s="13"/>
      <c r="VJX41" s="12"/>
      <c r="VJY41" s="18"/>
      <c r="VJZ41" s="12"/>
      <c r="VKA41" s="19"/>
      <c r="VKB41" s="16"/>
      <c r="VKC41" s="18"/>
      <c r="VKD41" s="13"/>
      <c r="VKE41" s="12"/>
      <c r="VKF41" s="18"/>
      <c r="VKG41" s="12"/>
      <c r="VKH41" s="19"/>
      <c r="VKI41" s="16"/>
      <c r="VKJ41" s="18"/>
      <c r="VKK41" s="13"/>
      <c r="VKL41" s="12"/>
      <c r="VKM41" s="18"/>
      <c r="VKN41" s="12"/>
      <c r="VKO41" s="19"/>
      <c r="VKP41" s="16"/>
      <c r="VKQ41" s="18"/>
      <c r="VKR41" s="13"/>
      <c r="VKS41" s="12"/>
      <c r="VKT41" s="18"/>
      <c r="VKU41" s="12"/>
      <c r="VKV41" s="19"/>
      <c r="VKW41" s="16"/>
      <c r="VKX41" s="18"/>
      <c r="VKY41" s="13"/>
      <c r="VKZ41" s="12"/>
      <c r="VLA41" s="18"/>
      <c r="VLB41" s="12"/>
      <c r="VLC41" s="19"/>
      <c r="VLD41" s="16"/>
      <c r="VLE41" s="18"/>
      <c r="VLF41" s="13"/>
      <c r="VLG41" s="12"/>
      <c r="VLH41" s="18"/>
      <c r="VLI41" s="12"/>
      <c r="VLJ41" s="19"/>
      <c r="VLK41" s="16"/>
      <c r="VLL41" s="18"/>
      <c r="VLM41" s="13"/>
      <c r="VLN41" s="12"/>
      <c r="VLO41" s="18"/>
      <c r="VLP41" s="12"/>
      <c r="VLQ41" s="19"/>
      <c r="VLR41" s="16"/>
      <c r="VLS41" s="18"/>
      <c r="VLT41" s="13"/>
      <c r="VLU41" s="12"/>
      <c r="VLV41" s="18"/>
      <c r="VLW41" s="12"/>
      <c r="VLX41" s="19"/>
      <c r="VLY41" s="16"/>
      <c r="VLZ41" s="18"/>
      <c r="VMA41" s="13"/>
      <c r="VMB41" s="12"/>
      <c r="VMC41" s="18"/>
      <c r="VMD41" s="12"/>
      <c r="VME41" s="19"/>
      <c r="VMF41" s="16"/>
      <c r="VMG41" s="18"/>
      <c r="VMH41" s="13"/>
      <c r="VMI41" s="12"/>
      <c r="VMJ41" s="18"/>
      <c r="VMK41" s="12"/>
      <c r="VML41" s="19"/>
      <c r="VMM41" s="16"/>
      <c r="VMN41" s="18"/>
      <c r="VMO41" s="13"/>
      <c r="VMP41" s="12"/>
      <c r="VMQ41" s="18"/>
      <c r="VMR41" s="12"/>
      <c r="VMS41" s="19"/>
      <c r="VMT41" s="16"/>
      <c r="VMU41" s="18"/>
      <c r="VMV41" s="13"/>
      <c r="VMW41" s="12"/>
      <c r="VMX41" s="18"/>
      <c r="VMY41" s="12"/>
      <c r="VMZ41" s="19"/>
      <c r="VNA41" s="16"/>
      <c r="VNB41" s="18"/>
      <c r="VNC41" s="13"/>
      <c r="VND41" s="12"/>
      <c r="VNE41" s="18"/>
      <c r="VNF41" s="12"/>
      <c r="VNG41" s="19"/>
      <c r="VNH41" s="16"/>
      <c r="VNI41" s="18"/>
      <c r="VNJ41" s="13"/>
      <c r="VNK41" s="12"/>
      <c r="VNL41" s="18"/>
      <c r="VNM41" s="12"/>
      <c r="VNN41" s="19"/>
      <c r="VNO41" s="16"/>
      <c r="VNP41" s="18"/>
      <c r="VNQ41" s="13"/>
      <c r="VNR41" s="12"/>
      <c r="VNS41" s="18"/>
      <c r="VNT41" s="12"/>
      <c r="VNU41" s="19"/>
      <c r="VNV41" s="16"/>
      <c r="VNW41" s="18"/>
      <c r="VNX41" s="13"/>
      <c r="VNY41" s="12"/>
      <c r="VNZ41" s="18"/>
      <c r="VOA41" s="12"/>
      <c r="VOB41" s="19"/>
      <c r="VOC41" s="16"/>
      <c r="VOD41" s="18"/>
      <c r="VOE41" s="13"/>
      <c r="VOF41" s="12"/>
      <c r="VOG41" s="18"/>
      <c r="VOH41" s="12"/>
      <c r="VOI41" s="19"/>
      <c r="VOJ41" s="16"/>
      <c r="VOK41" s="18"/>
      <c r="VOL41" s="13"/>
      <c r="VOM41" s="12"/>
      <c r="VON41" s="18"/>
      <c r="VOO41" s="12"/>
      <c r="VOP41" s="19"/>
      <c r="VOQ41" s="16"/>
      <c r="VOR41" s="18"/>
      <c r="VOS41" s="13"/>
      <c r="VOT41" s="12"/>
      <c r="VOU41" s="18"/>
      <c r="VOV41" s="12"/>
      <c r="VOW41" s="19"/>
      <c r="VOX41" s="16"/>
      <c r="VOY41" s="18"/>
      <c r="VOZ41" s="13"/>
      <c r="VPA41" s="12"/>
      <c r="VPB41" s="18"/>
      <c r="VPC41" s="12"/>
      <c r="VPD41" s="19"/>
      <c r="VPE41" s="16"/>
      <c r="VPF41" s="18"/>
      <c r="VPG41" s="13"/>
      <c r="VPH41" s="12"/>
      <c r="VPI41" s="18"/>
      <c r="VPJ41" s="12"/>
      <c r="VPK41" s="19"/>
      <c r="VPL41" s="16"/>
      <c r="VPM41" s="18"/>
      <c r="VPN41" s="13"/>
      <c r="VPO41" s="12"/>
      <c r="VPP41" s="18"/>
      <c r="VPQ41" s="12"/>
      <c r="VPR41" s="19"/>
      <c r="VPS41" s="16"/>
      <c r="VPT41" s="18"/>
      <c r="VPU41" s="13"/>
      <c r="VPV41" s="12"/>
      <c r="VPW41" s="18"/>
      <c r="VPX41" s="12"/>
      <c r="VPY41" s="19"/>
      <c r="VPZ41" s="16"/>
      <c r="VQA41" s="18"/>
      <c r="VQB41" s="13"/>
      <c r="VQC41" s="12"/>
      <c r="VQD41" s="18"/>
      <c r="VQE41" s="12"/>
      <c r="VQF41" s="19"/>
      <c r="VQG41" s="16"/>
      <c r="VQH41" s="18"/>
      <c r="VQI41" s="13"/>
      <c r="VQJ41" s="12"/>
      <c r="VQK41" s="18"/>
      <c r="VQL41" s="12"/>
      <c r="VQM41" s="19"/>
      <c r="VQN41" s="16"/>
      <c r="VQO41" s="18"/>
      <c r="VQP41" s="13"/>
      <c r="VQQ41" s="12"/>
      <c r="VQR41" s="18"/>
      <c r="VQS41" s="12"/>
      <c r="VQT41" s="19"/>
      <c r="VQU41" s="16"/>
      <c r="VQV41" s="18"/>
      <c r="VQW41" s="13"/>
      <c r="VQX41" s="12"/>
      <c r="VQY41" s="18"/>
      <c r="VQZ41" s="12"/>
      <c r="VRA41" s="19"/>
      <c r="VRB41" s="16"/>
      <c r="VRC41" s="18"/>
      <c r="VRD41" s="13"/>
      <c r="VRE41" s="12"/>
      <c r="VRF41" s="18"/>
      <c r="VRG41" s="12"/>
      <c r="VRH41" s="19"/>
      <c r="VRI41" s="16"/>
      <c r="VRJ41" s="18"/>
      <c r="VRK41" s="13"/>
      <c r="VRL41" s="12"/>
      <c r="VRM41" s="18"/>
      <c r="VRN41" s="12"/>
      <c r="VRO41" s="19"/>
      <c r="VRP41" s="16"/>
      <c r="VRQ41" s="18"/>
      <c r="VRR41" s="13"/>
      <c r="VRS41" s="12"/>
      <c r="VRT41" s="18"/>
      <c r="VRU41" s="12"/>
      <c r="VRV41" s="19"/>
      <c r="VRW41" s="16"/>
      <c r="VRX41" s="18"/>
      <c r="VRY41" s="13"/>
      <c r="VRZ41" s="12"/>
      <c r="VSA41" s="18"/>
      <c r="VSB41" s="12"/>
      <c r="VSC41" s="19"/>
      <c r="VSD41" s="16"/>
      <c r="VSE41" s="18"/>
      <c r="VSF41" s="13"/>
      <c r="VSG41" s="12"/>
      <c r="VSH41" s="18"/>
      <c r="VSI41" s="12"/>
      <c r="VSJ41" s="19"/>
      <c r="VSK41" s="16"/>
      <c r="VSL41" s="18"/>
      <c r="VSM41" s="13"/>
      <c r="VSN41" s="12"/>
      <c r="VSO41" s="18"/>
      <c r="VSP41" s="12"/>
      <c r="VSQ41" s="19"/>
      <c r="VSR41" s="16"/>
      <c r="VSS41" s="18"/>
      <c r="VST41" s="13"/>
      <c r="VSU41" s="12"/>
      <c r="VSV41" s="18"/>
      <c r="VSW41" s="12"/>
      <c r="VSX41" s="19"/>
      <c r="VSY41" s="16"/>
      <c r="VSZ41" s="18"/>
      <c r="VTA41" s="13"/>
      <c r="VTB41" s="12"/>
      <c r="VTC41" s="18"/>
      <c r="VTD41" s="12"/>
      <c r="VTE41" s="19"/>
      <c r="VTF41" s="16"/>
      <c r="VTG41" s="18"/>
      <c r="VTH41" s="13"/>
      <c r="VTI41" s="12"/>
      <c r="VTJ41" s="18"/>
      <c r="VTK41" s="12"/>
      <c r="VTL41" s="19"/>
      <c r="VTM41" s="16"/>
      <c r="VTN41" s="18"/>
      <c r="VTO41" s="13"/>
      <c r="VTP41" s="12"/>
      <c r="VTQ41" s="18"/>
      <c r="VTR41" s="12"/>
      <c r="VTS41" s="19"/>
      <c r="VTT41" s="16"/>
      <c r="VTU41" s="18"/>
      <c r="VTV41" s="13"/>
      <c r="VTW41" s="12"/>
      <c r="VTX41" s="18"/>
      <c r="VTY41" s="12"/>
      <c r="VTZ41" s="19"/>
      <c r="VUA41" s="16"/>
      <c r="VUB41" s="18"/>
      <c r="VUC41" s="13"/>
      <c r="VUD41" s="12"/>
      <c r="VUE41" s="18"/>
      <c r="VUF41" s="12"/>
      <c r="VUG41" s="19"/>
      <c r="VUH41" s="16"/>
      <c r="VUI41" s="18"/>
      <c r="VUJ41" s="13"/>
      <c r="VUK41" s="12"/>
      <c r="VUL41" s="18"/>
      <c r="VUM41" s="12"/>
      <c r="VUN41" s="19"/>
      <c r="VUO41" s="16"/>
      <c r="VUP41" s="18"/>
      <c r="VUQ41" s="13"/>
      <c r="VUR41" s="12"/>
      <c r="VUS41" s="18"/>
      <c r="VUT41" s="12"/>
      <c r="VUU41" s="19"/>
      <c r="VUV41" s="16"/>
      <c r="VUW41" s="18"/>
      <c r="VUX41" s="13"/>
      <c r="VUY41" s="12"/>
      <c r="VUZ41" s="18"/>
      <c r="VVA41" s="12"/>
      <c r="VVB41" s="19"/>
      <c r="VVC41" s="16"/>
      <c r="VVD41" s="18"/>
      <c r="VVE41" s="13"/>
      <c r="VVF41" s="12"/>
      <c r="VVG41" s="18"/>
      <c r="VVH41" s="12"/>
      <c r="VVI41" s="19"/>
      <c r="VVJ41" s="16"/>
      <c r="VVK41" s="18"/>
      <c r="VVL41" s="13"/>
      <c r="VVM41" s="12"/>
      <c r="VVN41" s="18"/>
      <c r="VVO41" s="12"/>
      <c r="VVP41" s="19"/>
      <c r="VVQ41" s="16"/>
      <c r="VVR41" s="18"/>
      <c r="VVS41" s="13"/>
      <c r="VVT41" s="12"/>
      <c r="VVU41" s="18"/>
      <c r="VVV41" s="12"/>
      <c r="VVW41" s="19"/>
      <c r="VVX41" s="16"/>
      <c r="VVY41" s="18"/>
      <c r="VVZ41" s="13"/>
      <c r="VWA41" s="12"/>
      <c r="VWB41" s="18"/>
      <c r="VWC41" s="12"/>
      <c r="VWD41" s="19"/>
      <c r="VWE41" s="16"/>
      <c r="VWF41" s="18"/>
      <c r="VWG41" s="13"/>
      <c r="VWH41" s="12"/>
      <c r="VWI41" s="18"/>
      <c r="VWJ41" s="12"/>
      <c r="VWK41" s="19"/>
      <c r="VWL41" s="16"/>
      <c r="VWM41" s="18"/>
      <c r="VWN41" s="13"/>
      <c r="VWO41" s="12"/>
      <c r="VWP41" s="18"/>
      <c r="VWQ41" s="12"/>
      <c r="VWR41" s="19"/>
      <c r="VWS41" s="16"/>
      <c r="VWT41" s="18"/>
      <c r="VWU41" s="13"/>
      <c r="VWV41" s="12"/>
      <c r="VWW41" s="18"/>
      <c r="VWX41" s="12"/>
      <c r="VWY41" s="19"/>
      <c r="VWZ41" s="16"/>
      <c r="VXA41" s="18"/>
      <c r="VXB41" s="13"/>
      <c r="VXC41" s="12"/>
      <c r="VXD41" s="18"/>
      <c r="VXE41" s="12"/>
      <c r="VXF41" s="19"/>
      <c r="VXG41" s="16"/>
      <c r="VXH41" s="18"/>
      <c r="VXI41" s="13"/>
      <c r="VXJ41" s="12"/>
      <c r="VXK41" s="18"/>
      <c r="VXL41" s="12"/>
      <c r="VXM41" s="19"/>
      <c r="VXN41" s="16"/>
      <c r="VXO41" s="18"/>
      <c r="VXP41" s="13"/>
      <c r="VXQ41" s="12"/>
      <c r="VXR41" s="18"/>
      <c r="VXS41" s="12"/>
      <c r="VXT41" s="19"/>
      <c r="VXU41" s="16"/>
      <c r="VXV41" s="18"/>
      <c r="VXW41" s="13"/>
      <c r="VXX41" s="12"/>
      <c r="VXY41" s="18"/>
      <c r="VXZ41" s="12"/>
      <c r="VYA41" s="19"/>
      <c r="VYB41" s="16"/>
      <c r="VYC41" s="18"/>
      <c r="VYD41" s="13"/>
      <c r="VYE41" s="12"/>
      <c r="VYF41" s="18"/>
      <c r="VYG41" s="12"/>
      <c r="VYH41" s="19"/>
      <c r="VYI41" s="16"/>
      <c r="VYJ41" s="18"/>
      <c r="VYK41" s="13"/>
      <c r="VYL41" s="12"/>
      <c r="VYM41" s="18"/>
      <c r="VYN41" s="12"/>
      <c r="VYO41" s="19"/>
      <c r="VYP41" s="16"/>
      <c r="VYQ41" s="18"/>
      <c r="VYR41" s="13"/>
      <c r="VYS41" s="12"/>
      <c r="VYT41" s="18"/>
      <c r="VYU41" s="12"/>
      <c r="VYV41" s="19"/>
      <c r="VYW41" s="16"/>
      <c r="VYX41" s="18"/>
      <c r="VYY41" s="13"/>
      <c r="VYZ41" s="12"/>
      <c r="VZA41" s="18"/>
      <c r="VZB41" s="12"/>
      <c r="VZC41" s="19"/>
      <c r="VZD41" s="16"/>
      <c r="VZE41" s="18"/>
      <c r="VZF41" s="13"/>
      <c r="VZG41" s="12"/>
      <c r="VZH41" s="18"/>
      <c r="VZI41" s="12"/>
      <c r="VZJ41" s="19"/>
      <c r="VZK41" s="16"/>
      <c r="VZL41" s="18"/>
      <c r="VZM41" s="13"/>
      <c r="VZN41" s="12"/>
      <c r="VZO41" s="18"/>
      <c r="VZP41" s="12"/>
      <c r="VZQ41" s="19"/>
      <c r="VZR41" s="16"/>
      <c r="VZS41" s="18"/>
      <c r="VZT41" s="13"/>
      <c r="VZU41" s="12"/>
      <c r="VZV41" s="18"/>
      <c r="VZW41" s="12"/>
      <c r="VZX41" s="19"/>
      <c r="VZY41" s="16"/>
      <c r="VZZ41" s="18"/>
      <c r="WAA41" s="13"/>
      <c r="WAB41" s="12"/>
      <c r="WAC41" s="18"/>
      <c r="WAD41" s="12"/>
      <c r="WAE41" s="19"/>
      <c r="WAF41" s="16"/>
      <c r="WAG41" s="18"/>
      <c r="WAH41" s="13"/>
      <c r="WAI41" s="12"/>
      <c r="WAJ41" s="18"/>
      <c r="WAK41" s="12"/>
      <c r="WAL41" s="19"/>
      <c r="WAM41" s="16"/>
      <c r="WAN41" s="18"/>
      <c r="WAO41" s="13"/>
      <c r="WAP41" s="12"/>
      <c r="WAQ41" s="18"/>
      <c r="WAR41" s="12"/>
      <c r="WAS41" s="19"/>
      <c r="WAT41" s="16"/>
      <c r="WAU41" s="18"/>
      <c r="WAV41" s="13"/>
      <c r="WAW41" s="12"/>
      <c r="WAX41" s="18"/>
      <c r="WAY41" s="12"/>
      <c r="WAZ41" s="19"/>
      <c r="WBA41" s="16"/>
      <c r="WBB41" s="18"/>
      <c r="WBC41" s="13"/>
      <c r="WBD41" s="12"/>
      <c r="WBE41" s="18"/>
      <c r="WBF41" s="12"/>
      <c r="WBG41" s="19"/>
      <c r="WBH41" s="16"/>
      <c r="WBI41" s="18"/>
      <c r="WBJ41" s="13"/>
      <c r="WBK41" s="12"/>
      <c r="WBL41" s="18"/>
      <c r="WBM41" s="12"/>
      <c r="WBN41" s="19"/>
      <c r="WBO41" s="16"/>
      <c r="WBP41" s="18"/>
      <c r="WBQ41" s="13"/>
      <c r="WBR41" s="12"/>
      <c r="WBS41" s="18"/>
      <c r="WBT41" s="12"/>
      <c r="WBU41" s="19"/>
      <c r="WBV41" s="16"/>
      <c r="WBW41" s="18"/>
      <c r="WBX41" s="13"/>
      <c r="WBY41" s="12"/>
      <c r="WBZ41" s="18"/>
      <c r="WCA41" s="12"/>
      <c r="WCB41" s="19"/>
      <c r="WCC41" s="16"/>
      <c r="WCD41" s="18"/>
      <c r="WCE41" s="13"/>
      <c r="WCF41" s="12"/>
      <c r="WCG41" s="18"/>
      <c r="WCH41" s="12"/>
      <c r="WCI41" s="19"/>
      <c r="WCJ41" s="16"/>
      <c r="WCK41" s="18"/>
      <c r="WCL41" s="13"/>
      <c r="WCM41" s="12"/>
      <c r="WCN41" s="18"/>
      <c r="WCO41" s="12"/>
      <c r="WCP41" s="19"/>
      <c r="WCQ41" s="16"/>
      <c r="WCR41" s="18"/>
      <c r="WCS41" s="13"/>
      <c r="WCT41" s="12"/>
      <c r="WCU41" s="18"/>
      <c r="WCV41" s="12"/>
      <c r="WCW41" s="19"/>
      <c r="WCX41" s="16"/>
      <c r="WCY41" s="18"/>
      <c r="WCZ41" s="13"/>
      <c r="WDA41" s="12"/>
      <c r="WDB41" s="18"/>
      <c r="WDC41" s="12"/>
      <c r="WDD41" s="19"/>
      <c r="WDE41" s="16"/>
      <c r="WDF41" s="18"/>
      <c r="WDG41" s="13"/>
      <c r="WDH41" s="12"/>
      <c r="WDI41" s="18"/>
      <c r="WDJ41" s="12"/>
      <c r="WDK41" s="19"/>
      <c r="WDL41" s="16"/>
      <c r="WDM41" s="18"/>
      <c r="WDN41" s="13"/>
      <c r="WDO41" s="12"/>
      <c r="WDP41" s="18"/>
      <c r="WDQ41" s="12"/>
      <c r="WDR41" s="19"/>
      <c r="WDS41" s="16"/>
      <c r="WDT41" s="18"/>
      <c r="WDU41" s="13"/>
      <c r="WDV41" s="12"/>
      <c r="WDW41" s="18"/>
      <c r="WDX41" s="12"/>
      <c r="WDY41" s="19"/>
      <c r="WDZ41" s="16"/>
      <c r="WEA41" s="18"/>
      <c r="WEB41" s="13"/>
      <c r="WEC41" s="12"/>
      <c r="WED41" s="18"/>
      <c r="WEE41" s="12"/>
      <c r="WEF41" s="19"/>
      <c r="WEG41" s="16"/>
      <c r="WEH41" s="18"/>
      <c r="WEI41" s="13"/>
      <c r="WEJ41" s="12"/>
      <c r="WEK41" s="18"/>
      <c r="WEL41" s="12"/>
      <c r="WEM41" s="19"/>
      <c r="WEN41" s="16"/>
      <c r="WEO41" s="18"/>
      <c r="WEP41" s="13"/>
      <c r="WEQ41" s="12"/>
      <c r="WER41" s="18"/>
      <c r="WES41" s="12"/>
      <c r="WET41" s="19"/>
      <c r="WEU41" s="16"/>
      <c r="WEV41" s="18"/>
      <c r="WEW41" s="13"/>
      <c r="WEX41" s="12"/>
      <c r="WEY41" s="18"/>
      <c r="WEZ41" s="12"/>
      <c r="WFA41" s="19"/>
      <c r="WFB41" s="16"/>
      <c r="WFC41" s="18"/>
      <c r="WFD41" s="13"/>
      <c r="WFE41" s="12"/>
      <c r="WFF41" s="18"/>
      <c r="WFG41" s="12"/>
      <c r="WFH41" s="19"/>
      <c r="WFI41" s="16"/>
      <c r="WFJ41" s="18"/>
      <c r="WFK41" s="13"/>
      <c r="WFL41" s="12"/>
      <c r="WFM41" s="18"/>
      <c r="WFN41" s="12"/>
      <c r="WFO41" s="19"/>
      <c r="WFP41" s="16"/>
      <c r="WFQ41" s="18"/>
      <c r="WFR41" s="13"/>
      <c r="WFS41" s="12"/>
      <c r="WFT41" s="18"/>
      <c r="WFU41" s="12"/>
      <c r="WFV41" s="19"/>
      <c r="WFW41" s="16"/>
      <c r="WFX41" s="18"/>
      <c r="WFY41" s="13"/>
      <c r="WFZ41" s="12"/>
      <c r="WGA41" s="18"/>
      <c r="WGB41" s="12"/>
      <c r="WGC41" s="19"/>
      <c r="WGD41" s="16"/>
      <c r="WGE41" s="18"/>
      <c r="WGF41" s="13"/>
      <c r="WGG41" s="12"/>
      <c r="WGH41" s="18"/>
      <c r="WGI41" s="12"/>
      <c r="WGJ41" s="19"/>
      <c r="WGK41" s="16"/>
      <c r="WGL41" s="18"/>
      <c r="WGM41" s="13"/>
      <c r="WGN41" s="12"/>
      <c r="WGO41" s="18"/>
      <c r="WGP41" s="12"/>
      <c r="WGQ41" s="19"/>
      <c r="WGR41" s="16"/>
      <c r="WGS41" s="18"/>
      <c r="WGT41" s="13"/>
      <c r="WGU41" s="12"/>
      <c r="WGV41" s="18"/>
      <c r="WGW41" s="12"/>
      <c r="WGX41" s="19"/>
      <c r="WGY41" s="16"/>
      <c r="WGZ41" s="18"/>
      <c r="WHA41" s="13"/>
      <c r="WHB41" s="12"/>
      <c r="WHC41" s="18"/>
      <c r="WHD41" s="12"/>
      <c r="WHE41" s="19"/>
      <c r="WHF41" s="16"/>
      <c r="WHG41" s="18"/>
      <c r="WHH41" s="13"/>
      <c r="WHI41" s="12"/>
      <c r="WHJ41" s="18"/>
      <c r="WHK41" s="12"/>
      <c r="WHL41" s="19"/>
      <c r="WHM41" s="16"/>
      <c r="WHN41" s="18"/>
      <c r="WHO41" s="13"/>
      <c r="WHP41" s="12"/>
      <c r="WHQ41" s="18"/>
      <c r="WHR41" s="12"/>
      <c r="WHS41" s="19"/>
      <c r="WHT41" s="16"/>
      <c r="WHU41" s="18"/>
      <c r="WHV41" s="13"/>
      <c r="WHW41" s="12"/>
      <c r="WHX41" s="18"/>
      <c r="WHY41" s="12"/>
      <c r="WHZ41" s="19"/>
      <c r="WIA41" s="16"/>
      <c r="WIB41" s="18"/>
      <c r="WIC41" s="13"/>
      <c r="WID41" s="12"/>
      <c r="WIE41" s="18"/>
      <c r="WIF41" s="12"/>
      <c r="WIG41" s="19"/>
      <c r="WIH41" s="16"/>
      <c r="WII41" s="18"/>
      <c r="WIJ41" s="13"/>
      <c r="WIK41" s="12"/>
      <c r="WIL41" s="18"/>
      <c r="WIM41" s="12"/>
      <c r="WIN41" s="19"/>
      <c r="WIO41" s="16"/>
      <c r="WIP41" s="18"/>
      <c r="WIQ41" s="13"/>
      <c r="WIR41" s="12"/>
      <c r="WIS41" s="18"/>
      <c r="WIT41" s="12"/>
      <c r="WIU41" s="19"/>
      <c r="WIV41" s="16"/>
      <c r="WIW41" s="18"/>
      <c r="WIX41" s="13"/>
      <c r="WIY41" s="12"/>
      <c r="WIZ41" s="18"/>
      <c r="WJA41" s="12"/>
      <c r="WJB41" s="19"/>
      <c r="WJC41" s="16"/>
      <c r="WJD41" s="18"/>
      <c r="WJE41" s="13"/>
      <c r="WJF41" s="12"/>
      <c r="WJG41" s="18"/>
      <c r="WJH41" s="12"/>
      <c r="WJI41" s="19"/>
      <c r="WJJ41" s="16"/>
      <c r="WJK41" s="18"/>
      <c r="WJL41" s="13"/>
      <c r="WJM41" s="12"/>
      <c r="WJN41" s="18"/>
      <c r="WJO41" s="12"/>
      <c r="WJP41" s="19"/>
      <c r="WJQ41" s="16"/>
      <c r="WJR41" s="18"/>
      <c r="WJS41" s="13"/>
      <c r="WJT41" s="12"/>
      <c r="WJU41" s="18"/>
      <c r="WJV41" s="12"/>
      <c r="WJW41" s="19"/>
      <c r="WJX41" s="16"/>
      <c r="WJY41" s="18"/>
      <c r="WJZ41" s="13"/>
      <c r="WKA41" s="12"/>
      <c r="WKB41" s="18"/>
      <c r="WKC41" s="12"/>
      <c r="WKD41" s="19"/>
      <c r="WKE41" s="16"/>
      <c r="WKF41" s="18"/>
      <c r="WKG41" s="13"/>
      <c r="WKH41" s="12"/>
      <c r="WKI41" s="18"/>
      <c r="WKJ41" s="12"/>
      <c r="WKK41" s="19"/>
      <c r="WKL41" s="16"/>
      <c r="WKM41" s="18"/>
      <c r="WKN41" s="13"/>
      <c r="WKO41" s="12"/>
      <c r="WKP41" s="18"/>
      <c r="WKQ41" s="12"/>
      <c r="WKR41" s="19"/>
      <c r="WKS41" s="16"/>
      <c r="WKT41" s="18"/>
      <c r="WKU41" s="13"/>
      <c r="WKV41" s="12"/>
      <c r="WKW41" s="18"/>
      <c r="WKX41" s="12"/>
      <c r="WKY41" s="19"/>
      <c r="WKZ41" s="16"/>
      <c r="WLA41" s="18"/>
      <c r="WLB41" s="13"/>
      <c r="WLC41" s="12"/>
      <c r="WLD41" s="18"/>
      <c r="WLE41" s="12"/>
      <c r="WLF41" s="19"/>
      <c r="WLG41" s="16"/>
      <c r="WLH41" s="18"/>
      <c r="WLI41" s="13"/>
      <c r="WLJ41" s="12"/>
      <c r="WLK41" s="18"/>
      <c r="WLL41" s="12"/>
      <c r="WLM41" s="19"/>
      <c r="WLN41" s="16"/>
      <c r="WLO41" s="18"/>
      <c r="WLP41" s="13"/>
      <c r="WLQ41" s="12"/>
      <c r="WLR41" s="18"/>
      <c r="WLS41" s="12"/>
      <c r="WLT41" s="19"/>
      <c r="WLU41" s="16"/>
      <c r="WLV41" s="18"/>
      <c r="WLW41" s="13"/>
      <c r="WLX41" s="12"/>
      <c r="WLY41" s="18"/>
      <c r="WLZ41" s="12"/>
      <c r="WMA41" s="19"/>
      <c r="WMB41" s="16"/>
      <c r="WMC41" s="18"/>
      <c r="WMD41" s="13"/>
      <c r="WME41" s="12"/>
      <c r="WMF41" s="18"/>
      <c r="WMG41" s="12"/>
      <c r="WMH41" s="19"/>
      <c r="WMI41" s="16"/>
      <c r="WMJ41" s="18"/>
      <c r="WMK41" s="13"/>
      <c r="WML41" s="12"/>
      <c r="WMM41" s="18"/>
      <c r="WMN41" s="12"/>
      <c r="WMO41" s="19"/>
      <c r="WMP41" s="16"/>
      <c r="WMQ41" s="18"/>
      <c r="WMR41" s="13"/>
      <c r="WMS41" s="12"/>
      <c r="WMT41" s="18"/>
      <c r="WMU41" s="12"/>
      <c r="WMV41" s="19"/>
      <c r="WMW41" s="16"/>
      <c r="WMX41" s="18"/>
      <c r="WMY41" s="13"/>
      <c r="WMZ41" s="12"/>
      <c r="WNA41" s="18"/>
      <c r="WNB41" s="12"/>
      <c r="WNC41" s="19"/>
      <c r="WND41" s="16"/>
      <c r="WNE41" s="18"/>
      <c r="WNF41" s="13"/>
      <c r="WNG41" s="12"/>
      <c r="WNH41" s="18"/>
      <c r="WNI41" s="12"/>
      <c r="WNJ41" s="19"/>
      <c r="WNK41" s="16"/>
      <c r="WNL41" s="18"/>
      <c r="WNM41" s="13"/>
      <c r="WNN41" s="12"/>
      <c r="WNO41" s="18"/>
      <c r="WNP41" s="12"/>
      <c r="WNQ41" s="19"/>
      <c r="WNR41" s="16"/>
      <c r="WNS41" s="18"/>
      <c r="WNT41" s="13"/>
      <c r="WNU41" s="12"/>
      <c r="WNV41" s="18"/>
      <c r="WNW41" s="12"/>
      <c r="WNX41" s="19"/>
      <c r="WNY41" s="16"/>
      <c r="WNZ41" s="18"/>
      <c r="WOA41" s="13"/>
      <c r="WOB41" s="12"/>
      <c r="WOC41" s="18"/>
      <c r="WOD41" s="12"/>
      <c r="WOE41" s="19"/>
      <c r="WOF41" s="16"/>
      <c r="WOG41" s="18"/>
      <c r="WOH41" s="13"/>
      <c r="WOI41" s="12"/>
      <c r="WOJ41" s="18"/>
      <c r="WOK41" s="12"/>
      <c r="WOL41" s="19"/>
      <c r="WOM41" s="16"/>
      <c r="WON41" s="18"/>
      <c r="WOO41" s="13"/>
      <c r="WOP41" s="12"/>
      <c r="WOQ41" s="18"/>
      <c r="WOR41" s="12"/>
      <c r="WOS41" s="19"/>
      <c r="WOT41" s="16"/>
      <c r="WOU41" s="18"/>
      <c r="WOV41" s="13"/>
      <c r="WOW41" s="12"/>
      <c r="WOX41" s="18"/>
      <c r="WOY41" s="12"/>
      <c r="WOZ41" s="19"/>
      <c r="WPA41" s="16"/>
      <c r="WPB41" s="18"/>
      <c r="WPC41" s="13"/>
      <c r="WPD41" s="12"/>
      <c r="WPE41" s="18"/>
      <c r="WPF41" s="12"/>
      <c r="WPG41" s="19"/>
      <c r="WPH41" s="16"/>
      <c r="WPI41" s="18"/>
      <c r="WPJ41" s="13"/>
      <c r="WPK41" s="12"/>
      <c r="WPL41" s="18"/>
      <c r="WPM41" s="12"/>
      <c r="WPN41" s="19"/>
      <c r="WPO41" s="16"/>
      <c r="WPP41" s="18"/>
      <c r="WPQ41" s="13"/>
      <c r="WPR41" s="12"/>
      <c r="WPS41" s="18"/>
      <c r="WPT41" s="12"/>
      <c r="WPU41" s="19"/>
      <c r="WPV41" s="16"/>
      <c r="WPW41" s="18"/>
      <c r="WPX41" s="13"/>
      <c r="WPY41" s="12"/>
      <c r="WPZ41" s="18"/>
      <c r="WQA41" s="12"/>
      <c r="WQB41" s="19"/>
      <c r="WQC41" s="16"/>
      <c r="WQD41" s="18"/>
      <c r="WQE41" s="13"/>
      <c r="WQF41" s="12"/>
      <c r="WQG41" s="18"/>
      <c r="WQH41" s="12"/>
      <c r="WQI41" s="19"/>
      <c r="WQJ41" s="16"/>
      <c r="WQK41" s="18"/>
      <c r="WQL41" s="13"/>
      <c r="WQM41" s="12"/>
      <c r="WQN41" s="18"/>
      <c r="WQO41" s="12"/>
      <c r="WQP41" s="19"/>
      <c r="WQQ41" s="16"/>
      <c r="WQR41" s="18"/>
      <c r="WQS41" s="13"/>
      <c r="WQT41" s="12"/>
      <c r="WQU41" s="18"/>
      <c r="WQV41" s="12"/>
      <c r="WQW41" s="19"/>
      <c r="WQX41" s="16"/>
      <c r="WQY41" s="18"/>
      <c r="WQZ41" s="13"/>
      <c r="WRA41" s="12"/>
      <c r="WRB41" s="18"/>
      <c r="WRC41" s="12"/>
      <c r="WRD41" s="19"/>
      <c r="WRE41" s="16"/>
      <c r="WRF41" s="18"/>
      <c r="WRG41" s="13"/>
      <c r="WRH41" s="12"/>
      <c r="WRI41" s="18"/>
      <c r="WRJ41" s="12"/>
      <c r="WRK41" s="19"/>
      <c r="WRL41" s="16"/>
      <c r="WRM41" s="18"/>
      <c r="WRN41" s="13"/>
      <c r="WRO41" s="12"/>
      <c r="WRP41" s="18"/>
      <c r="WRQ41" s="12"/>
      <c r="WRR41" s="19"/>
      <c r="WRS41" s="16"/>
      <c r="WRT41" s="18"/>
      <c r="WRU41" s="13"/>
      <c r="WRV41" s="12"/>
      <c r="WRW41" s="18"/>
      <c r="WRX41" s="12"/>
      <c r="WRY41" s="19"/>
      <c r="WRZ41" s="16"/>
      <c r="WSA41" s="18"/>
      <c r="WSB41" s="13"/>
      <c r="WSC41" s="12"/>
      <c r="WSD41" s="18"/>
      <c r="WSE41" s="12"/>
      <c r="WSF41" s="19"/>
      <c r="WSG41" s="16"/>
      <c r="WSH41" s="18"/>
      <c r="WSI41" s="13"/>
      <c r="WSJ41" s="12"/>
      <c r="WSK41" s="18"/>
      <c r="WSL41" s="12"/>
      <c r="WSM41" s="19"/>
      <c r="WSN41" s="16"/>
      <c r="WSO41" s="18"/>
      <c r="WSP41" s="13"/>
      <c r="WSQ41" s="12"/>
      <c r="WSR41" s="18"/>
      <c r="WSS41" s="12"/>
      <c r="WST41" s="19"/>
      <c r="WSU41" s="16"/>
      <c r="WSV41" s="18"/>
      <c r="WSW41" s="13"/>
      <c r="WSX41" s="12"/>
      <c r="WSY41" s="18"/>
      <c r="WSZ41" s="12"/>
      <c r="WTA41" s="19"/>
      <c r="WTB41" s="16"/>
      <c r="WTC41" s="18"/>
      <c r="WTD41" s="13"/>
      <c r="WTE41" s="12"/>
      <c r="WTF41" s="18"/>
      <c r="WTG41" s="12"/>
      <c r="WTH41" s="19"/>
      <c r="WTI41" s="16"/>
      <c r="WTJ41" s="18"/>
      <c r="WTK41" s="13"/>
      <c r="WTL41" s="12"/>
      <c r="WTM41" s="18"/>
      <c r="WTN41" s="12"/>
      <c r="WTO41" s="19"/>
      <c r="WTP41" s="16"/>
      <c r="WTQ41" s="18"/>
      <c r="WTR41" s="13"/>
      <c r="WTS41" s="12"/>
      <c r="WTT41" s="18"/>
      <c r="WTU41" s="12"/>
      <c r="WTV41" s="19"/>
      <c r="WTW41" s="16"/>
      <c r="WTX41" s="18"/>
      <c r="WTY41" s="13"/>
      <c r="WTZ41" s="12"/>
      <c r="WUA41" s="18"/>
      <c r="WUB41" s="12"/>
      <c r="WUC41" s="19"/>
      <c r="WUD41" s="16"/>
      <c r="WUE41" s="18"/>
      <c r="WUF41" s="13"/>
      <c r="WUG41" s="12"/>
      <c r="WUH41" s="18"/>
      <c r="WUI41" s="12"/>
      <c r="WUJ41" s="19"/>
      <c r="WUK41" s="16"/>
      <c r="WUL41" s="18"/>
      <c r="WUM41" s="13"/>
      <c r="WUN41" s="12"/>
      <c r="WUO41" s="18"/>
      <c r="WUP41" s="12"/>
      <c r="WUQ41" s="19"/>
      <c r="WUR41" s="16"/>
      <c r="WUS41" s="18"/>
      <c r="WUT41" s="13"/>
      <c r="WUU41" s="12"/>
      <c r="WUV41" s="18"/>
      <c r="WUW41" s="12"/>
      <c r="WUX41" s="19"/>
      <c r="WUY41" s="16"/>
      <c r="WUZ41" s="18"/>
      <c r="WVA41" s="13"/>
      <c r="WVB41" s="12"/>
      <c r="WVC41" s="18"/>
      <c r="WVD41" s="12"/>
      <c r="WVE41" s="19"/>
      <c r="WVF41" s="16"/>
      <c r="WVG41" s="18"/>
      <c r="WVH41" s="13"/>
      <c r="WVI41" s="12"/>
      <c r="WVJ41" s="18"/>
      <c r="WVK41" s="12"/>
      <c r="WVL41" s="19"/>
      <c r="WVM41" s="16"/>
      <c r="WVN41" s="18"/>
      <c r="WVO41" s="13"/>
      <c r="WVP41" s="12"/>
      <c r="WVQ41" s="18"/>
      <c r="WVR41" s="12"/>
      <c r="WVS41" s="19"/>
      <c r="WVT41" s="16"/>
      <c r="WVU41" s="18"/>
      <c r="WVV41" s="13"/>
      <c r="WVW41" s="12"/>
      <c r="WVX41" s="18"/>
      <c r="WVY41" s="12"/>
      <c r="WVZ41" s="19"/>
      <c r="WWA41" s="16"/>
      <c r="WWB41" s="18"/>
      <c r="WWC41" s="13"/>
      <c r="WWD41" s="12"/>
      <c r="WWE41" s="18"/>
      <c r="WWF41" s="12"/>
      <c r="WWG41" s="19"/>
      <c r="WWH41" s="16"/>
      <c r="WWI41" s="18"/>
      <c r="WWJ41" s="13"/>
      <c r="WWK41" s="12"/>
      <c r="WWL41" s="18"/>
      <c r="WWM41" s="12"/>
      <c r="WWN41" s="19"/>
      <c r="WWO41" s="16"/>
      <c r="WWP41" s="18"/>
      <c r="WWQ41" s="13"/>
      <c r="WWR41" s="12"/>
      <c r="WWS41" s="18"/>
      <c r="WWT41" s="12"/>
      <c r="WWU41" s="19"/>
      <c r="WWV41" s="16"/>
      <c r="WWW41" s="18"/>
      <c r="WWX41" s="13"/>
      <c r="WWY41" s="12"/>
      <c r="WWZ41" s="18"/>
      <c r="WXA41" s="12"/>
      <c r="WXB41" s="19"/>
      <c r="WXC41" s="16"/>
      <c r="WXD41" s="18"/>
      <c r="WXE41" s="13"/>
      <c r="WXF41" s="12"/>
      <c r="WXG41" s="18"/>
      <c r="WXH41" s="12"/>
      <c r="WXI41" s="19"/>
      <c r="WXJ41" s="16"/>
      <c r="WXK41" s="18"/>
      <c r="WXL41" s="13"/>
      <c r="WXM41" s="12"/>
      <c r="WXN41" s="18"/>
      <c r="WXO41" s="12"/>
      <c r="WXP41" s="19"/>
      <c r="WXQ41" s="16"/>
      <c r="WXR41" s="18"/>
      <c r="WXS41" s="13"/>
      <c r="WXT41" s="12"/>
      <c r="WXU41" s="18"/>
      <c r="WXV41" s="12"/>
      <c r="WXW41" s="19"/>
      <c r="WXX41" s="16"/>
      <c r="WXY41" s="18"/>
      <c r="WXZ41" s="13"/>
      <c r="WYA41" s="12"/>
      <c r="WYB41" s="18"/>
      <c r="WYC41" s="12"/>
      <c r="WYD41" s="19"/>
      <c r="WYE41" s="16"/>
      <c r="WYF41" s="18"/>
      <c r="WYG41" s="13"/>
      <c r="WYH41" s="12"/>
      <c r="WYI41" s="18"/>
      <c r="WYJ41" s="12"/>
      <c r="WYK41" s="19"/>
      <c r="WYL41" s="16"/>
      <c r="WYM41" s="18"/>
      <c r="WYN41" s="13"/>
      <c r="WYO41" s="12"/>
      <c r="WYP41" s="18"/>
      <c r="WYQ41" s="12"/>
      <c r="WYR41" s="19"/>
      <c r="WYS41" s="16"/>
      <c r="WYT41" s="18"/>
      <c r="WYU41" s="13"/>
      <c r="WYV41" s="12"/>
      <c r="WYW41" s="18"/>
      <c r="WYX41" s="12"/>
      <c r="WYY41" s="19"/>
      <c r="WYZ41" s="16"/>
      <c r="WZA41" s="18"/>
      <c r="WZB41" s="13"/>
      <c r="WZC41" s="12"/>
      <c r="WZD41" s="18"/>
      <c r="WZE41" s="12"/>
      <c r="WZF41" s="19"/>
      <c r="WZG41" s="16"/>
      <c r="WZH41" s="18"/>
      <c r="WZI41" s="13"/>
      <c r="WZJ41" s="12"/>
      <c r="WZK41" s="18"/>
      <c r="WZL41" s="12"/>
      <c r="WZM41" s="19"/>
      <c r="WZN41" s="16"/>
      <c r="WZO41" s="18"/>
      <c r="WZP41" s="13"/>
      <c r="WZQ41" s="12"/>
      <c r="WZR41" s="18"/>
      <c r="WZS41" s="12"/>
      <c r="WZT41" s="19"/>
      <c r="WZU41" s="16"/>
      <c r="WZV41" s="18"/>
      <c r="WZW41" s="13"/>
      <c r="WZX41" s="12"/>
      <c r="WZY41" s="18"/>
      <c r="WZZ41" s="12"/>
      <c r="XAA41" s="19"/>
      <c r="XAB41" s="16"/>
      <c r="XAC41" s="18"/>
      <c r="XAD41" s="13"/>
      <c r="XAE41" s="12"/>
      <c r="XAF41" s="18"/>
      <c r="XAG41" s="12"/>
      <c r="XAH41" s="19"/>
      <c r="XAI41" s="16"/>
      <c r="XAJ41" s="18"/>
      <c r="XAK41" s="13"/>
      <c r="XAL41" s="12"/>
      <c r="XAM41" s="18"/>
      <c r="XAN41" s="12"/>
      <c r="XAO41" s="19"/>
      <c r="XAP41" s="16"/>
      <c r="XAQ41" s="18"/>
      <c r="XAR41" s="13"/>
      <c r="XAS41" s="12"/>
      <c r="XAT41" s="18"/>
      <c r="XAU41" s="12"/>
      <c r="XAV41" s="19"/>
      <c r="XAW41" s="16"/>
      <c r="XAX41" s="18"/>
      <c r="XAY41" s="13"/>
      <c r="XAZ41" s="12"/>
      <c r="XBA41" s="18"/>
      <c r="XBB41" s="12"/>
      <c r="XBC41" s="19"/>
      <c r="XBD41" s="16"/>
      <c r="XBE41" s="18"/>
      <c r="XBF41" s="13"/>
      <c r="XBG41" s="12"/>
      <c r="XBH41" s="18"/>
      <c r="XBI41" s="12"/>
      <c r="XBJ41" s="19"/>
      <c r="XBK41" s="16"/>
      <c r="XBL41" s="18"/>
      <c r="XBM41" s="13"/>
      <c r="XBN41" s="12"/>
      <c r="XBO41" s="18"/>
      <c r="XBP41" s="12"/>
      <c r="XBQ41" s="19"/>
      <c r="XBR41" s="16"/>
      <c r="XBS41" s="18"/>
      <c r="XBT41" s="13"/>
      <c r="XBU41" s="12"/>
      <c r="XBV41" s="18"/>
      <c r="XBW41" s="12"/>
      <c r="XBX41" s="19"/>
      <c r="XBY41" s="16"/>
      <c r="XBZ41" s="18"/>
      <c r="XCA41" s="13"/>
      <c r="XCB41" s="12"/>
      <c r="XCC41" s="18"/>
      <c r="XCD41" s="12"/>
      <c r="XCE41" s="19"/>
      <c r="XCF41" s="16"/>
      <c r="XCG41" s="18"/>
      <c r="XCH41" s="13"/>
      <c r="XCI41" s="12"/>
      <c r="XCJ41" s="18"/>
      <c r="XCK41" s="12"/>
      <c r="XCL41" s="19"/>
      <c r="XCM41" s="16"/>
      <c r="XCN41" s="18"/>
      <c r="XCO41" s="13"/>
      <c r="XCP41" s="12"/>
      <c r="XCQ41" s="18"/>
      <c r="XCR41" s="12"/>
      <c r="XCS41" s="19"/>
      <c r="XCT41" s="16"/>
      <c r="XCU41" s="18"/>
      <c r="XCV41" s="13"/>
      <c r="XCW41" s="12"/>
      <c r="XCX41" s="18"/>
      <c r="XCY41" s="12"/>
      <c r="XCZ41" s="19"/>
      <c r="XDA41" s="16"/>
      <c r="XDB41" s="18"/>
      <c r="XDC41" s="13"/>
      <c r="XDD41" s="12"/>
      <c r="XDE41" s="18"/>
      <c r="XDF41" s="12"/>
      <c r="XDG41" s="19"/>
      <c r="XDH41" s="16"/>
      <c r="XDI41" s="18"/>
      <c r="XDJ41" s="13"/>
      <c r="XDK41" s="12"/>
      <c r="XDL41" s="18"/>
      <c r="XDM41" s="12"/>
      <c r="XDN41" s="19"/>
      <c r="XDO41" s="16"/>
      <c r="XDP41" s="18"/>
      <c r="XDQ41" s="13"/>
      <c r="XDR41" s="12"/>
      <c r="XDS41" s="18"/>
      <c r="XDT41" s="12"/>
      <c r="XDU41" s="19"/>
      <c r="XDV41" s="16"/>
      <c r="XDW41" s="18"/>
      <c r="XDX41" s="13"/>
      <c r="XDY41" s="12"/>
      <c r="XDZ41" s="18"/>
      <c r="XEA41" s="12"/>
      <c r="XEB41" s="19"/>
      <c r="XEC41" s="16"/>
      <c r="XED41" s="18"/>
      <c r="XEE41" s="13"/>
      <c r="XEF41" s="12"/>
      <c r="XEG41" s="18"/>
      <c r="XEH41" s="12"/>
      <c r="XEI41" s="19"/>
      <c r="XEJ41" s="16"/>
      <c r="XEK41" s="18"/>
      <c r="XEL41" s="13"/>
      <c r="XEM41" s="12"/>
      <c r="XEN41" s="18"/>
      <c r="XEO41" s="12"/>
      <c r="XEP41" s="19"/>
      <c r="XEQ41" s="16"/>
      <c r="XER41" s="18"/>
      <c r="XES41" s="13"/>
      <c r="XET41" s="12"/>
      <c r="XEU41" s="18"/>
      <c r="XEV41" s="12"/>
      <c r="XEW41" s="19"/>
      <c r="XEX41" s="16"/>
      <c r="XEY41" s="18"/>
      <c r="XEZ41" s="13"/>
      <c r="XFA41" s="12"/>
      <c r="XFB41" s="18"/>
      <c r="XFC41" s="12"/>
      <c r="XFD41" s="19"/>
    </row>
    <row r="42" spans="1:16384" ht="25.5" x14ac:dyDescent="0.2">
      <c r="A42" s="1">
        <v>7</v>
      </c>
      <c r="B42" s="12"/>
      <c r="C42" s="13"/>
      <c r="D42" s="12" t="s">
        <v>777</v>
      </c>
      <c r="E42" s="18">
        <v>458</v>
      </c>
      <c r="F42" s="12" t="s">
        <v>1080</v>
      </c>
      <c r="G42" s="19"/>
      <c r="H42" s="16" t="s">
        <v>498</v>
      </c>
      <c r="I42" s="18">
        <v>116</v>
      </c>
      <c r="J42" s="13" t="s">
        <v>286</v>
      </c>
      <c r="K42" s="18"/>
      <c r="L42" s="12"/>
      <c r="M42" s="14"/>
      <c r="N42" s="14"/>
      <c r="O42" s="21"/>
      <c r="P42" s="21"/>
      <c r="Q42" s="1"/>
      <c r="R42" s="1"/>
      <c r="S42" s="1"/>
      <c r="T42" s="1"/>
      <c r="U42" s="1"/>
      <c r="V42" s="1"/>
      <c r="W42" s="1"/>
    </row>
    <row r="43" spans="1:16384" ht="25.5" x14ac:dyDescent="0.2">
      <c r="A43" s="1">
        <v>7</v>
      </c>
      <c r="B43" s="12"/>
      <c r="C43" s="13"/>
      <c r="D43" s="12" t="s">
        <v>585</v>
      </c>
      <c r="E43" s="18">
        <v>460</v>
      </c>
      <c r="F43" s="12" t="s">
        <v>1080</v>
      </c>
      <c r="G43" s="19"/>
      <c r="H43" s="16" t="s">
        <v>555</v>
      </c>
      <c r="I43" s="18">
        <v>6000</v>
      </c>
      <c r="J43" s="13" t="s">
        <v>843</v>
      </c>
      <c r="K43" s="18"/>
      <c r="L43" s="12"/>
      <c r="M43" s="14"/>
      <c r="N43" s="14"/>
      <c r="O43" s="21"/>
      <c r="P43" s="21"/>
      <c r="Q43" s="1"/>
      <c r="R43" s="1"/>
      <c r="S43" s="1"/>
      <c r="T43" s="1"/>
      <c r="U43" s="1"/>
      <c r="V43" s="1"/>
      <c r="W43" s="1"/>
    </row>
    <row r="44" spans="1:16384" ht="25.5" x14ac:dyDescent="0.2">
      <c r="A44" s="1">
        <v>7</v>
      </c>
      <c r="B44" s="12"/>
      <c r="C44" s="13"/>
      <c r="D44" s="12" t="s">
        <v>202</v>
      </c>
      <c r="E44" s="18">
        <v>451</v>
      </c>
      <c r="F44" s="12" t="s">
        <v>1080</v>
      </c>
      <c r="G44" s="19"/>
      <c r="H44" s="16" t="s">
        <v>398</v>
      </c>
      <c r="I44" s="18">
        <v>250</v>
      </c>
      <c r="J44" s="13" t="s">
        <v>328</v>
      </c>
      <c r="K44" s="18"/>
      <c r="L44" s="12"/>
      <c r="M44" s="14"/>
      <c r="N44" s="14"/>
      <c r="O44" s="21"/>
      <c r="P44" s="21"/>
      <c r="Q44" s="1"/>
      <c r="R44" s="1"/>
      <c r="S44" s="1"/>
      <c r="T44" s="1"/>
      <c r="U44" s="1"/>
      <c r="V44" s="1"/>
      <c r="W44" s="1"/>
    </row>
    <row r="45" spans="1:16384" ht="25.5" x14ac:dyDescent="0.2">
      <c r="A45" s="1">
        <v>7</v>
      </c>
      <c r="B45" s="12"/>
      <c r="C45" s="13"/>
      <c r="D45" s="12" t="s">
        <v>603</v>
      </c>
      <c r="E45" s="18">
        <v>459</v>
      </c>
      <c r="F45" s="12" t="s">
        <v>319</v>
      </c>
      <c r="G45" s="19"/>
      <c r="H45" s="16" t="s">
        <v>625</v>
      </c>
      <c r="I45" s="18">
        <v>3</v>
      </c>
      <c r="J45" s="13" t="s">
        <v>129</v>
      </c>
      <c r="K45" s="18"/>
      <c r="L45" s="12"/>
      <c r="M45" s="14"/>
      <c r="N45" s="14"/>
      <c r="O45" s="21"/>
      <c r="P45" s="21"/>
      <c r="Q45" s="1"/>
      <c r="R45" s="1"/>
      <c r="S45" s="1"/>
      <c r="T45" s="1"/>
      <c r="U45" s="1"/>
      <c r="V45" s="1"/>
      <c r="W45" s="1"/>
    </row>
    <row r="46" spans="1:16384" ht="25.5" x14ac:dyDescent="0.2">
      <c r="A46" s="1">
        <v>7</v>
      </c>
      <c r="B46" s="12"/>
      <c r="C46" s="13"/>
      <c r="D46" s="12" t="s">
        <v>603</v>
      </c>
      <c r="E46" s="18">
        <v>455</v>
      </c>
      <c r="F46" s="12" t="s">
        <v>1080</v>
      </c>
      <c r="G46" s="19"/>
      <c r="H46" s="16" t="s">
        <v>982</v>
      </c>
      <c r="I46" s="18">
        <v>100000</v>
      </c>
      <c r="J46" s="13" t="s">
        <v>843</v>
      </c>
      <c r="K46" s="18"/>
      <c r="L46" s="12"/>
      <c r="M46" s="14"/>
      <c r="N46" s="14"/>
      <c r="O46" s="21"/>
      <c r="P46" s="21"/>
      <c r="Q46" s="1"/>
      <c r="R46" s="1"/>
      <c r="S46" s="1"/>
      <c r="T46" s="1"/>
      <c r="U46" s="1"/>
      <c r="V46" s="1"/>
      <c r="W46" s="1"/>
    </row>
    <row r="47" spans="1:16384" ht="25.5" x14ac:dyDescent="0.2">
      <c r="A47" s="1">
        <v>7</v>
      </c>
      <c r="B47" s="12"/>
      <c r="C47" s="13"/>
      <c r="D47" s="12" t="s">
        <v>603</v>
      </c>
      <c r="E47" s="18">
        <v>452</v>
      </c>
      <c r="F47" s="12" t="s">
        <v>1080</v>
      </c>
      <c r="G47" s="19"/>
      <c r="H47" s="16" t="s">
        <v>926</v>
      </c>
      <c r="I47" s="18">
        <v>3000</v>
      </c>
      <c r="J47" s="13" t="s">
        <v>328</v>
      </c>
      <c r="K47" s="18"/>
      <c r="L47" s="12"/>
      <c r="M47" s="14"/>
      <c r="N47" s="14"/>
      <c r="O47" s="21"/>
      <c r="P47" s="21"/>
      <c r="Q47" s="1"/>
      <c r="R47" s="1"/>
      <c r="S47" s="1"/>
      <c r="T47" s="1"/>
      <c r="U47" s="1"/>
      <c r="V47" s="1"/>
      <c r="W47" s="1"/>
    </row>
    <row r="48" spans="1:16384" ht="25.5" x14ac:dyDescent="0.2">
      <c r="A48" s="1">
        <v>7</v>
      </c>
      <c r="B48" s="12"/>
      <c r="C48" s="13"/>
      <c r="D48" s="12" t="s">
        <v>22</v>
      </c>
      <c r="E48" s="18">
        <v>453</v>
      </c>
      <c r="F48" s="12" t="s">
        <v>1080</v>
      </c>
      <c r="G48" s="19"/>
      <c r="H48" s="16" t="s">
        <v>302</v>
      </c>
      <c r="I48" s="18">
        <v>3000</v>
      </c>
      <c r="J48" s="13" t="s">
        <v>328</v>
      </c>
      <c r="K48" s="18"/>
      <c r="L48" s="12"/>
      <c r="M48" s="14"/>
      <c r="N48" s="14"/>
      <c r="O48" s="21"/>
      <c r="P48" s="21"/>
      <c r="Q48" s="1"/>
      <c r="R48" s="1"/>
      <c r="S48" s="1"/>
      <c r="T48" s="1"/>
      <c r="U48" s="1"/>
      <c r="V48" s="1"/>
      <c r="W48" s="1"/>
    </row>
    <row r="49" spans="1:23" ht="25.5" x14ac:dyDescent="0.2">
      <c r="A49" s="1"/>
      <c r="B49" s="12"/>
      <c r="C49" s="13"/>
      <c r="D49" s="12"/>
      <c r="E49" s="18">
        <v>454</v>
      </c>
      <c r="F49" s="12" t="s">
        <v>1116</v>
      </c>
      <c r="G49" s="19"/>
      <c r="H49" s="16" t="s">
        <v>1155</v>
      </c>
      <c r="I49" s="18">
        <v>130000</v>
      </c>
      <c r="J49" s="13" t="s">
        <v>843</v>
      </c>
      <c r="K49" s="18"/>
      <c r="L49" s="12"/>
      <c r="M49" s="14"/>
      <c r="N49" s="14"/>
      <c r="O49" s="21"/>
      <c r="P49" s="21"/>
      <c r="Q49" s="1"/>
      <c r="R49" s="1"/>
      <c r="S49" s="1"/>
      <c r="T49" s="1"/>
      <c r="U49" s="1"/>
      <c r="V49" s="1"/>
      <c r="W49" s="1"/>
    </row>
    <row r="50" spans="1:23" ht="51" x14ac:dyDescent="0.2">
      <c r="A50" s="1">
        <v>8</v>
      </c>
      <c r="B50" s="12"/>
      <c r="C50" s="13" t="s">
        <v>10</v>
      </c>
      <c r="D50" s="12"/>
      <c r="E50" s="12"/>
      <c r="F50" s="12"/>
      <c r="G50" s="19">
        <v>296059</v>
      </c>
      <c r="H50" s="16" t="s">
        <v>848</v>
      </c>
      <c r="I50" s="12"/>
      <c r="J50" s="13"/>
      <c r="K50" s="12"/>
      <c r="L50" s="12"/>
      <c r="M50" s="21">
        <v>4000000000</v>
      </c>
      <c r="N50" s="21">
        <f>+N51</f>
        <v>0</v>
      </c>
      <c r="O50" s="21">
        <f t="shared" ref="O50:Q50" si="4">+O51</f>
        <v>0</v>
      </c>
      <c r="P50" s="21">
        <f t="shared" si="4"/>
        <v>0</v>
      </c>
      <c r="Q50" s="21">
        <f t="shared" si="4"/>
        <v>0</v>
      </c>
      <c r="R50" s="1"/>
      <c r="S50" s="1"/>
      <c r="T50" s="1"/>
      <c r="U50" s="1"/>
      <c r="V50" s="1"/>
      <c r="W50" s="1"/>
    </row>
    <row r="51" spans="1:23" x14ac:dyDescent="0.2">
      <c r="A51" s="1">
        <v>9</v>
      </c>
      <c r="B51" s="12"/>
      <c r="C51" s="13"/>
      <c r="D51" s="12"/>
      <c r="E51" s="12"/>
      <c r="F51" s="12"/>
      <c r="G51" s="19"/>
      <c r="H51" s="44" t="s">
        <v>835</v>
      </c>
      <c r="I51" s="12"/>
      <c r="J51" s="13"/>
      <c r="K51" s="12"/>
      <c r="L51" s="12"/>
      <c r="M51" s="21">
        <v>4000000000</v>
      </c>
      <c r="N51" s="21">
        <v>0</v>
      </c>
      <c r="O51" s="21"/>
      <c r="P51" s="21"/>
      <c r="Q51" s="1"/>
      <c r="R51" s="1">
        <f t="shared" si="1"/>
        <v>0</v>
      </c>
      <c r="S51" s="1"/>
      <c r="T51" s="1"/>
      <c r="U51" s="1"/>
      <c r="V51" s="1"/>
      <c r="W51" s="1"/>
    </row>
    <row r="52" spans="1:23" ht="38.25" x14ac:dyDescent="0.2">
      <c r="A52" s="1">
        <v>8</v>
      </c>
      <c r="B52" s="12"/>
      <c r="C52" s="13" t="s">
        <v>10</v>
      </c>
      <c r="D52" s="12"/>
      <c r="E52" s="12"/>
      <c r="F52" s="12"/>
      <c r="G52" s="19">
        <v>296060</v>
      </c>
      <c r="H52" s="16" t="s">
        <v>451</v>
      </c>
      <c r="I52" s="12"/>
      <c r="J52" s="13"/>
      <c r="K52" s="12"/>
      <c r="L52" s="12"/>
      <c r="M52" s="21">
        <v>4500000000</v>
      </c>
      <c r="N52" s="21">
        <f>+N53</f>
        <v>0</v>
      </c>
      <c r="O52" s="21">
        <f t="shared" ref="O52:Q52" si="5">+O53</f>
        <v>0</v>
      </c>
      <c r="P52" s="21">
        <f t="shared" si="5"/>
        <v>0</v>
      </c>
      <c r="Q52" s="21">
        <f t="shared" si="5"/>
        <v>0</v>
      </c>
      <c r="R52" s="1"/>
      <c r="S52" s="1"/>
      <c r="T52" s="1"/>
      <c r="U52" s="1"/>
      <c r="V52" s="1"/>
      <c r="W52" s="1"/>
    </row>
    <row r="53" spans="1:23" x14ac:dyDescent="0.2">
      <c r="A53" s="1">
        <v>9</v>
      </c>
      <c r="B53" s="12"/>
      <c r="C53" s="13"/>
      <c r="D53" s="12"/>
      <c r="E53" s="12"/>
      <c r="F53" s="12"/>
      <c r="G53" s="19"/>
      <c r="H53" s="44" t="s">
        <v>835</v>
      </c>
      <c r="I53" s="12"/>
      <c r="J53" s="13"/>
      <c r="K53" s="12"/>
      <c r="L53" s="12"/>
      <c r="M53" s="21">
        <v>4500000000</v>
      </c>
      <c r="N53" s="21">
        <v>0</v>
      </c>
      <c r="O53" s="21"/>
      <c r="P53" s="21"/>
      <c r="Q53" s="1"/>
      <c r="R53" s="1">
        <f t="shared" si="1"/>
        <v>0</v>
      </c>
      <c r="S53" s="1"/>
      <c r="T53" s="1"/>
      <c r="U53" s="1"/>
      <c r="V53" s="1"/>
      <c r="W53" s="1"/>
    </row>
    <row r="54" spans="1:23" ht="51" x14ac:dyDescent="0.2">
      <c r="A54" s="1">
        <v>8</v>
      </c>
      <c r="B54" s="12"/>
      <c r="C54" s="75" t="s">
        <v>1309</v>
      </c>
      <c r="D54" s="12"/>
      <c r="E54" s="12"/>
      <c r="F54" s="12"/>
      <c r="G54" s="19">
        <v>296057</v>
      </c>
      <c r="H54" s="16" t="s">
        <v>1310</v>
      </c>
      <c r="I54" s="12"/>
      <c r="J54" s="13"/>
      <c r="K54" s="12"/>
      <c r="L54" s="12"/>
      <c r="M54" s="21">
        <v>103529919668</v>
      </c>
      <c r="N54" s="21">
        <f>SUM(N55:N59)</f>
        <v>40165071443</v>
      </c>
      <c r="O54" s="21">
        <f t="shared" ref="O54:Q54" si="6">SUM(O55:O59)</f>
        <v>0</v>
      </c>
      <c r="P54" s="21">
        <f t="shared" si="6"/>
        <v>0</v>
      </c>
      <c r="Q54" s="21">
        <f t="shared" si="6"/>
        <v>0</v>
      </c>
      <c r="R54" s="1"/>
      <c r="S54" s="1"/>
      <c r="T54" s="1"/>
      <c r="U54" s="1"/>
      <c r="V54" s="1"/>
      <c r="W54" s="1"/>
    </row>
    <row r="55" spans="1:23" x14ac:dyDescent="0.2">
      <c r="A55" s="1">
        <v>9</v>
      </c>
      <c r="B55" s="12"/>
      <c r="C55" s="13"/>
      <c r="D55" s="12"/>
      <c r="E55" s="12"/>
      <c r="F55" s="12"/>
      <c r="G55" s="19"/>
      <c r="H55" s="44" t="s">
        <v>88</v>
      </c>
      <c r="I55" s="12"/>
      <c r="J55" s="13"/>
      <c r="K55" s="12"/>
      <c r="L55" s="12"/>
      <c r="M55" s="21">
        <v>84000000</v>
      </c>
      <c r="N55" s="21">
        <v>0</v>
      </c>
      <c r="O55" s="21"/>
      <c r="P55" s="21"/>
      <c r="Q55" s="1"/>
      <c r="R55" s="1">
        <f t="shared" si="1"/>
        <v>0</v>
      </c>
      <c r="S55" s="1"/>
      <c r="T55" s="1"/>
      <c r="U55" s="1"/>
      <c r="V55" s="1"/>
      <c r="W55" s="1"/>
    </row>
    <row r="56" spans="1:23" x14ac:dyDescent="0.2">
      <c r="A56" s="1">
        <v>9</v>
      </c>
      <c r="B56" s="12"/>
      <c r="C56" s="13"/>
      <c r="D56" s="12"/>
      <c r="E56" s="12"/>
      <c r="F56" s="12"/>
      <c r="G56" s="19"/>
      <c r="H56" s="44" t="s">
        <v>962</v>
      </c>
      <c r="I56" s="12"/>
      <c r="J56" s="13"/>
      <c r="K56" s="12"/>
      <c r="L56" s="12"/>
      <c r="M56" s="21">
        <v>7678919668</v>
      </c>
      <c r="N56" s="21">
        <v>0</v>
      </c>
      <c r="O56" s="21"/>
      <c r="P56" s="21"/>
      <c r="Q56" s="1"/>
      <c r="R56" s="1">
        <f t="shared" si="1"/>
        <v>0</v>
      </c>
      <c r="S56" s="1"/>
      <c r="T56" s="1"/>
      <c r="U56" s="1"/>
      <c r="V56" s="1"/>
      <c r="W56" s="1"/>
    </row>
    <row r="57" spans="1:23" x14ac:dyDescent="0.2">
      <c r="A57" s="1">
        <v>9</v>
      </c>
      <c r="B57" s="12"/>
      <c r="C57" s="13"/>
      <c r="D57" s="12"/>
      <c r="E57" s="12"/>
      <c r="F57" s="12"/>
      <c r="G57" s="19"/>
      <c r="H57" s="44" t="s">
        <v>928</v>
      </c>
      <c r="I57" s="12"/>
      <c r="J57" s="13"/>
      <c r="K57" s="12"/>
      <c r="L57" s="12"/>
      <c r="M57" s="21">
        <v>25187054480</v>
      </c>
      <c r="N57" s="21">
        <v>28750000000</v>
      </c>
      <c r="O57" s="21"/>
      <c r="P57" s="21"/>
      <c r="Q57" s="1"/>
      <c r="R57" s="1">
        <f t="shared" si="1"/>
        <v>0</v>
      </c>
      <c r="S57" s="1"/>
      <c r="T57" s="1"/>
      <c r="U57" s="1"/>
      <c r="V57" s="1"/>
      <c r="W57" s="1"/>
    </row>
    <row r="58" spans="1:23" x14ac:dyDescent="0.2">
      <c r="A58" s="1"/>
      <c r="B58" s="12"/>
      <c r="C58" s="13"/>
      <c r="D58" s="12"/>
      <c r="E58" s="12"/>
      <c r="F58" s="12"/>
      <c r="G58" s="19"/>
      <c r="H58" s="44" t="s">
        <v>1114</v>
      </c>
      <c r="I58" s="12"/>
      <c r="J58" s="13"/>
      <c r="K58" s="12"/>
      <c r="L58" s="12"/>
      <c r="M58" s="21"/>
      <c r="N58" s="21">
        <f>4016640350+7398431093</f>
        <v>11415071443</v>
      </c>
      <c r="O58" s="21"/>
      <c r="P58" s="21"/>
      <c r="Q58" s="1"/>
      <c r="R58" s="1"/>
      <c r="S58" s="1"/>
      <c r="T58" s="1"/>
      <c r="U58" s="1"/>
      <c r="V58" s="1"/>
      <c r="W58" s="1"/>
    </row>
    <row r="59" spans="1:23" x14ac:dyDescent="0.2">
      <c r="A59" s="1">
        <v>9</v>
      </c>
      <c r="B59" s="12"/>
      <c r="C59" s="13"/>
      <c r="D59" s="12"/>
      <c r="E59" s="12"/>
      <c r="F59" s="12"/>
      <c r="G59" s="19"/>
      <c r="H59" s="44" t="s">
        <v>835</v>
      </c>
      <c r="I59" s="12"/>
      <c r="J59" s="13"/>
      <c r="K59" s="12"/>
      <c r="L59" s="12"/>
      <c r="M59" s="21">
        <v>70579945520</v>
      </c>
      <c r="N59" s="21">
        <v>0</v>
      </c>
      <c r="O59" s="21"/>
      <c r="P59" s="21"/>
      <c r="Q59" s="1"/>
      <c r="R59" s="1">
        <f t="shared" si="1"/>
        <v>0</v>
      </c>
      <c r="S59" s="1"/>
      <c r="T59" s="1"/>
      <c r="U59" s="1"/>
      <c r="V59" s="1"/>
      <c r="W59" s="1"/>
    </row>
    <row r="60" spans="1:23" ht="38.25" x14ac:dyDescent="0.2">
      <c r="A60" s="1">
        <v>8</v>
      </c>
      <c r="B60" s="12"/>
      <c r="C60" s="13" t="s">
        <v>10</v>
      </c>
      <c r="D60" s="12"/>
      <c r="E60" s="12"/>
      <c r="F60" s="12"/>
      <c r="G60" s="19">
        <v>296066</v>
      </c>
      <c r="H60" s="16" t="s">
        <v>345</v>
      </c>
      <c r="I60" s="12"/>
      <c r="J60" s="13"/>
      <c r="K60" s="12"/>
      <c r="L60" s="12"/>
      <c r="M60" s="21">
        <v>200000000</v>
      </c>
      <c r="N60" s="21">
        <f>+N61</f>
        <v>0</v>
      </c>
      <c r="O60" s="21">
        <f t="shared" ref="O60:Q60" si="7">+O61</f>
        <v>0</v>
      </c>
      <c r="P60" s="21">
        <f t="shared" si="7"/>
        <v>0</v>
      </c>
      <c r="Q60" s="21">
        <f t="shared" si="7"/>
        <v>0</v>
      </c>
      <c r="R60" s="1"/>
      <c r="S60" s="1"/>
      <c r="T60" s="1"/>
      <c r="U60" s="1"/>
      <c r="V60" s="1"/>
      <c r="W60" s="1"/>
    </row>
    <row r="61" spans="1:23" x14ac:dyDescent="0.2">
      <c r="A61" s="1">
        <v>9</v>
      </c>
      <c r="B61" s="12"/>
      <c r="C61" s="13"/>
      <c r="D61" s="12"/>
      <c r="E61" s="12"/>
      <c r="F61" s="12"/>
      <c r="G61" s="19"/>
      <c r="H61" s="44" t="s">
        <v>835</v>
      </c>
      <c r="I61" s="12"/>
      <c r="J61" s="13"/>
      <c r="K61" s="12"/>
      <c r="L61" s="12"/>
      <c r="M61" s="21">
        <v>200000000</v>
      </c>
      <c r="N61" s="21">
        <v>0</v>
      </c>
      <c r="O61" s="21"/>
      <c r="P61" s="21"/>
      <c r="Q61" s="1"/>
      <c r="R61" s="1">
        <f t="shared" si="1"/>
        <v>0</v>
      </c>
      <c r="S61" s="1"/>
      <c r="T61" s="1"/>
      <c r="U61" s="1"/>
      <c r="V61" s="1"/>
      <c r="W61" s="1"/>
    </row>
    <row r="62" spans="1:23" ht="63.75" x14ac:dyDescent="0.2">
      <c r="A62" s="1">
        <v>8</v>
      </c>
      <c r="B62" s="12"/>
      <c r="C62" s="13" t="s">
        <v>10</v>
      </c>
      <c r="D62" s="12"/>
      <c r="E62" s="12"/>
      <c r="F62" s="12"/>
      <c r="G62" s="19">
        <v>296067</v>
      </c>
      <c r="H62" s="16" t="s">
        <v>1006</v>
      </c>
      <c r="I62" s="12"/>
      <c r="J62" s="13"/>
      <c r="K62" s="12"/>
      <c r="L62" s="12"/>
      <c r="M62" s="21">
        <v>2000000000</v>
      </c>
      <c r="N62" s="21">
        <f>+N63</f>
        <v>0</v>
      </c>
      <c r="O62" s="21">
        <f t="shared" ref="O62:Q62" si="8">+O63</f>
        <v>0</v>
      </c>
      <c r="P62" s="21">
        <f t="shared" si="8"/>
        <v>0</v>
      </c>
      <c r="Q62" s="21">
        <f t="shared" si="8"/>
        <v>0</v>
      </c>
      <c r="R62" s="1"/>
      <c r="S62" s="1"/>
      <c r="T62" s="1"/>
      <c r="U62" s="1"/>
      <c r="V62" s="1"/>
      <c r="W62" s="1"/>
    </row>
    <row r="63" spans="1:23" x14ac:dyDescent="0.2">
      <c r="A63" s="1">
        <v>9</v>
      </c>
      <c r="B63" s="12"/>
      <c r="C63" s="13"/>
      <c r="D63" s="12"/>
      <c r="E63" s="12"/>
      <c r="F63" s="12"/>
      <c r="G63" s="19"/>
      <c r="H63" s="44" t="s">
        <v>835</v>
      </c>
      <c r="I63" s="12"/>
      <c r="J63" s="13"/>
      <c r="K63" s="12"/>
      <c r="L63" s="12"/>
      <c r="M63" s="21">
        <v>2000000000</v>
      </c>
      <c r="N63" s="21">
        <v>0</v>
      </c>
      <c r="O63" s="21"/>
      <c r="P63" s="21"/>
      <c r="Q63" s="1"/>
      <c r="R63" s="1">
        <f t="shared" si="1"/>
        <v>0</v>
      </c>
      <c r="S63" s="1"/>
      <c r="T63" s="1"/>
      <c r="U63" s="1"/>
      <c r="V63" s="1"/>
      <c r="W63" s="1"/>
    </row>
    <row r="64" spans="1:23" ht="38.25" x14ac:dyDescent="0.2">
      <c r="A64" s="1">
        <v>8</v>
      </c>
      <c r="B64" s="12"/>
      <c r="C64" s="13" t="s">
        <v>10</v>
      </c>
      <c r="D64" s="12"/>
      <c r="E64" s="12"/>
      <c r="F64" s="12"/>
      <c r="G64" s="19">
        <v>296070</v>
      </c>
      <c r="H64" s="16" t="s">
        <v>782</v>
      </c>
      <c r="I64" s="12"/>
      <c r="J64" s="13"/>
      <c r="K64" s="12"/>
      <c r="L64" s="12"/>
      <c r="M64" s="21">
        <v>4000000000</v>
      </c>
      <c r="N64" s="21">
        <f>+N65+N66</f>
        <v>0</v>
      </c>
      <c r="O64" s="21">
        <f t="shared" ref="O64:Q64" si="9">+O65+O66</f>
        <v>0</v>
      </c>
      <c r="P64" s="21">
        <f t="shared" si="9"/>
        <v>0</v>
      </c>
      <c r="Q64" s="21">
        <f t="shared" si="9"/>
        <v>0</v>
      </c>
      <c r="R64" s="1"/>
      <c r="S64" s="1"/>
      <c r="T64" s="1"/>
      <c r="U64" s="1"/>
      <c r="V64" s="1"/>
      <c r="W64" s="1"/>
    </row>
    <row r="65" spans="1:23" x14ac:dyDescent="0.2">
      <c r="A65" s="1">
        <v>9</v>
      </c>
      <c r="B65" s="12"/>
      <c r="C65" s="13"/>
      <c r="D65" s="12"/>
      <c r="E65" s="12"/>
      <c r="F65" s="12"/>
      <c r="G65" s="19"/>
      <c r="H65" s="16" t="s">
        <v>928</v>
      </c>
      <c r="I65" s="12"/>
      <c r="J65" s="13"/>
      <c r="K65" s="12"/>
      <c r="L65" s="12"/>
      <c r="M65" s="21">
        <v>800000000</v>
      </c>
      <c r="N65" s="21"/>
      <c r="O65" s="21"/>
      <c r="P65" s="21"/>
      <c r="Q65" s="1"/>
      <c r="R65" s="1">
        <f t="shared" si="1"/>
        <v>0</v>
      </c>
      <c r="S65" s="1"/>
      <c r="T65" s="1"/>
      <c r="U65" s="1"/>
      <c r="V65" s="1"/>
      <c r="W65" s="1"/>
    </row>
    <row r="66" spans="1:23" x14ac:dyDescent="0.2">
      <c r="A66" s="1">
        <v>9</v>
      </c>
      <c r="B66" s="12"/>
      <c r="C66" s="13"/>
      <c r="D66" s="12"/>
      <c r="E66" s="12"/>
      <c r="F66" s="12"/>
      <c r="G66" s="19"/>
      <c r="H66" s="44" t="s">
        <v>835</v>
      </c>
      <c r="I66" s="12"/>
      <c r="J66" s="13"/>
      <c r="K66" s="12"/>
      <c r="L66" s="12"/>
      <c r="M66" s="21">
        <v>3200000000</v>
      </c>
      <c r="N66" s="21">
        <v>0</v>
      </c>
      <c r="O66" s="21"/>
      <c r="P66" s="21"/>
      <c r="Q66" s="1"/>
      <c r="R66" s="1">
        <f t="shared" si="1"/>
        <v>0</v>
      </c>
      <c r="S66" s="1"/>
      <c r="T66" s="1"/>
      <c r="U66" s="1"/>
      <c r="V66" s="1"/>
      <c r="W66" s="1"/>
    </row>
    <row r="67" spans="1:23" ht="63.75" x14ac:dyDescent="0.2">
      <c r="A67" s="1">
        <v>8</v>
      </c>
      <c r="B67" s="12"/>
      <c r="C67" s="13" t="s">
        <v>10</v>
      </c>
      <c r="D67" s="12"/>
      <c r="E67" s="12"/>
      <c r="F67" s="12"/>
      <c r="G67" s="19">
        <v>296092</v>
      </c>
      <c r="H67" s="16" t="s">
        <v>235</v>
      </c>
      <c r="I67" s="12"/>
      <c r="J67" s="13"/>
      <c r="K67" s="12"/>
      <c r="L67" s="12"/>
      <c r="M67" s="21">
        <v>3200000000</v>
      </c>
      <c r="N67" s="21">
        <f>+N68+N69</f>
        <v>0</v>
      </c>
      <c r="O67" s="21">
        <f t="shared" ref="O67:Q67" si="10">+O69</f>
        <v>0</v>
      </c>
      <c r="P67" s="21">
        <f t="shared" si="10"/>
        <v>0</v>
      </c>
      <c r="Q67" s="21">
        <f t="shared" si="10"/>
        <v>0</v>
      </c>
      <c r="R67" s="1"/>
      <c r="S67" s="1"/>
      <c r="T67" s="1"/>
      <c r="U67" s="1"/>
      <c r="V67" s="1"/>
      <c r="W67" s="1"/>
    </row>
    <row r="68" spans="1:23" x14ac:dyDescent="0.2">
      <c r="A68" s="1"/>
      <c r="B68" s="12"/>
      <c r="C68" s="13"/>
      <c r="D68" s="12"/>
      <c r="E68" s="12"/>
      <c r="F68" s="12"/>
      <c r="G68" s="19"/>
      <c r="H68" s="44" t="s">
        <v>835</v>
      </c>
      <c r="I68" s="12"/>
      <c r="J68" s="13"/>
      <c r="K68" s="12"/>
      <c r="L68" s="12"/>
      <c r="M68" s="21"/>
      <c r="N68" s="21">
        <v>0</v>
      </c>
      <c r="O68" s="21"/>
      <c r="P68" s="21"/>
      <c r="Q68" s="21"/>
      <c r="R68" s="1"/>
      <c r="S68" s="1"/>
      <c r="T68" s="1"/>
      <c r="U68" s="1"/>
      <c r="V68" s="1"/>
      <c r="W68" s="1"/>
    </row>
    <row r="69" spans="1:23" x14ac:dyDescent="0.2">
      <c r="A69" s="1">
        <v>9</v>
      </c>
      <c r="B69" s="12"/>
      <c r="C69" s="13"/>
      <c r="D69" s="12"/>
      <c r="E69" s="12"/>
      <c r="F69" s="12"/>
      <c r="G69" s="19"/>
      <c r="H69" s="44" t="s">
        <v>928</v>
      </c>
      <c r="I69" s="12"/>
      <c r="J69" s="13"/>
      <c r="K69" s="12"/>
      <c r="L69" s="12"/>
      <c r="M69" s="21">
        <v>3200000000</v>
      </c>
      <c r="N69" s="21">
        <v>0</v>
      </c>
      <c r="O69" s="21"/>
      <c r="P69" s="21"/>
      <c r="Q69" s="1"/>
      <c r="R69" s="1">
        <f t="shared" si="1"/>
        <v>0</v>
      </c>
      <c r="S69" s="1"/>
      <c r="T69" s="1"/>
      <c r="U69" s="1"/>
      <c r="V69" s="1"/>
      <c r="W69" s="1"/>
    </row>
    <row r="70" spans="1:23" ht="25.5" x14ac:dyDescent="0.2">
      <c r="A70" s="1">
        <v>6</v>
      </c>
      <c r="B70" s="12" t="s">
        <v>955</v>
      </c>
      <c r="C70" s="13"/>
      <c r="D70" s="12"/>
      <c r="E70" s="12"/>
      <c r="F70" s="12"/>
      <c r="G70" s="19"/>
      <c r="H70" s="20" t="s">
        <v>700</v>
      </c>
      <c r="I70" s="12"/>
      <c r="J70" s="13"/>
      <c r="K70" s="12"/>
      <c r="L70" s="12"/>
      <c r="M70" s="17">
        <v>1000000000</v>
      </c>
      <c r="N70" s="17">
        <f>+N73</f>
        <v>0</v>
      </c>
      <c r="O70" s="21"/>
      <c r="P70" s="21"/>
      <c r="Q70" s="1"/>
      <c r="R70" s="1"/>
      <c r="S70" s="1"/>
      <c r="T70" s="1"/>
      <c r="U70" s="1"/>
      <c r="V70" s="1"/>
      <c r="W70" s="1"/>
    </row>
    <row r="71" spans="1:23" ht="38.25" x14ac:dyDescent="0.2">
      <c r="A71" s="1">
        <v>7</v>
      </c>
      <c r="B71" s="12"/>
      <c r="C71" s="13"/>
      <c r="D71" s="12" t="s">
        <v>503</v>
      </c>
      <c r="E71" s="18">
        <v>467</v>
      </c>
      <c r="F71" s="12" t="s">
        <v>1080</v>
      </c>
      <c r="G71" s="19"/>
      <c r="H71" s="16" t="s">
        <v>1052</v>
      </c>
      <c r="I71" s="18">
        <v>3</v>
      </c>
      <c r="J71" s="13" t="s">
        <v>925</v>
      </c>
      <c r="K71" s="18"/>
      <c r="L71" s="12"/>
      <c r="M71" s="14"/>
      <c r="N71" s="14"/>
      <c r="O71" s="21"/>
      <c r="P71" s="21"/>
      <c r="Q71" s="1"/>
      <c r="R71" s="1"/>
      <c r="S71" s="1"/>
      <c r="T71" s="1"/>
      <c r="U71" s="1"/>
      <c r="V71" s="1"/>
      <c r="W71" s="1"/>
    </row>
    <row r="72" spans="1:23" ht="25.5" x14ac:dyDescent="0.2">
      <c r="A72" s="1"/>
      <c r="B72" s="12"/>
      <c r="C72" s="13"/>
      <c r="D72" s="12"/>
      <c r="E72" s="18">
        <v>466</v>
      </c>
      <c r="F72" s="12" t="s">
        <v>1116</v>
      </c>
      <c r="G72" s="19"/>
      <c r="H72" s="16" t="s">
        <v>1156</v>
      </c>
      <c r="I72" s="18">
        <v>2</v>
      </c>
      <c r="J72" s="13" t="s">
        <v>925</v>
      </c>
      <c r="K72" s="18"/>
      <c r="L72" s="12"/>
      <c r="M72" s="14"/>
      <c r="N72" s="14"/>
      <c r="O72" s="21"/>
      <c r="P72" s="21"/>
      <c r="Q72" s="1"/>
      <c r="R72" s="1"/>
      <c r="S72" s="1"/>
      <c r="T72" s="1"/>
      <c r="U72" s="1"/>
      <c r="V72" s="1"/>
      <c r="W72" s="1"/>
    </row>
    <row r="73" spans="1:23" ht="51" x14ac:dyDescent="0.2">
      <c r="A73" s="1">
        <v>8</v>
      </c>
      <c r="B73" s="12"/>
      <c r="C73" s="13" t="s">
        <v>10</v>
      </c>
      <c r="D73" s="12"/>
      <c r="E73" s="12"/>
      <c r="F73" s="12"/>
      <c r="G73" s="19">
        <v>296104</v>
      </c>
      <c r="H73" s="16" t="s">
        <v>711</v>
      </c>
      <c r="I73" s="12"/>
      <c r="J73" s="13"/>
      <c r="K73" s="12"/>
      <c r="L73" s="12"/>
      <c r="M73" s="21">
        <v>1000000000</v>
      </c>
      <c r="N73" s="21">
        <f>+N74</f>
        <v>0</v>
      </c>
      <c r="O73" s="21">
        <f t="shared" ref="O73:Q73" si="11">+O74</f>
        <v>0</v>
      </c>
      <c r="P73" s="21">
        <f t="shared" si="11"/>
        <v>0</v>
      </c>
      <c r="Q73" s="21">
        <f t="shared" si="11"/>
        <v>0</v>
      </c>
      <c r="R73" s="1"/>
      <c r="S73" s="1"/>
      <c r="T73" s="1"/>
      <c r="U73" s="1"/>
      <c r="V73" s="1"/>
      <c r="W73" s="1"/>
    </row>
    <row r="74" spans="1:23" x14ac:dyDescent="0.2">
      <c r="A74" s="1">
        <v>9</v>
      </c>
      <c r="B74" s="12"/>
      <c r="C74" s="13"/>
      <c r="D74" s="12"/>
      <c r="E74" s="12"/>
      <c r="F74" s="12"/>
      <c r="G74" s="19"/>
      <c r="H74" s="44" t="s">
        <v>835</v>
      </c>
      <c r="I74" s="12"/>
      <c r="J74" s="13"/>
      <c r="K74" s="12"/>
      <c r="L74" s="12"/>
      <c r="M74" s="21">
        <v>1000000000</v>
      </c>
      <c r="N74" s="21">
        <v>0</v>
      </c>
      <c r="O74" s="21"/>
      <c r="P74" s="21"/>
      <c r="Q74" s="1"/>
      <c r="R74" s="1">
        <f t="shared" si="1"/>
        <v>0</v>
      </c>
      <c r="S74" s="1"/>
      <c r="T74" s="1"/>
      <c r="U74" s="1"/>
      <c r="V74" s="1"/>
      <c r="W74" s="1"/>
    </row>
    <row r="75" spans="1:23" x14ac:dyDescent="0.2">
      <c r="A75" s="1"/>
      <c r="B75" s="12"/>
      <c r="C75" s="13"/>
      <c r="D75" s="12"/>
      <c r="E75" s="12"/>
      <c r="F75" s="12"/>
      <c r="G75" s="19"/>
      <c r="H75" s="16"/>
      <c r="I75" s="12"/>
      <c r="J75" s="13"/>
      <c r="K75" s="12"/>
      <c r="L75" s="12"/>
      <c r="M75" s="21"/>
      <c r="N75" s="21"/>
      <c r="O75" s="21"/>
      <c r="P75" s="21"/>
      <c r="Q75" s="1"/>
      <c r="R75" s="1"/>
      <c r="S75" s="1"/>
      <c r="T75" s="1"/>
      <c r="U75" s="1"/>
      <c r="V75" s="1"/>
      <c r="W75" s="1"/>
    </row>
    <row r="76" spans="1:23" ht="25.5" x14ac:dyDescent="0.2">
      <c r="A76" s="1">
        <v>3</v>
      </c>
      <c r="B76" s="12" t="s">
        <v>841</v>
      </c>
      <c r="C76" s="13"/>
      <c r="D76" s="12"/>
      <c r="E76" s="12"/>
      <c r="F76" s="12"/>
      <c r="G76" s="19"/>
      <c r="H76" s="20" t="s">
        <v>165</v>
      </c>
      <c r="I76" s="12"/>
      <c r="J76" s="13"/>
      <c r="K76" s="12"/>
      <c r="L76" s="12"/>
      <c r="M76" s="17">
        <v>220000000</v>
      </c>
      <c r="N76" s="17">
        <f>+N77</f>
        <v>0</v>
      </c>
      <c r="O76" s="21"/>
      <c r="P76" s="21"/>
      <c r="Q76" s="1"/>
      <c r="R76" s="1"/>
      <c r="S76" s="1"/>
      <c r="T76" s="1"/>
      <c r="U76" s="1"/>
      <c r="V76" s="1"/>
      <c r="W76" s="1"/>
    </row>
    <row r="77" spans="1:23" x14ac:dyDescent="0.2">
      <c r="A77" s="1">
        <v>4</v>
      </c>
      <c r="B77" s="12" t="s">
        <v>450</v>
      </c>
      <c r="C77" s="13"/>
      <c r="D77" s="12"/>
      <c r="E77" s="12"/>
      <c r="F77" s="12"/>
      <c r="G77" s="19"/>
      <c r="H77" s="20" t="s">
        <v>256</v>
      </c>
      <c r="I77" s="12"/>
      <c r="J77" s="13"/>
      <c r="K77" s="12"/>
      <c r="L77" s="12"/>
      <c r="M77" s="17">
        <v>220000000</v>
      </c>
      <c r="N77" s="17">
        <f>+N79</f>
        <v>0</v>
      </c>
      <c r="O77" s="21"/>
      <c r="P77" s="21"/>
      <c r="Q77" s="1"/>
      <c r="R77" s="1"/>
      <c r="S77" s="1"/>
      <c r="T77" s="1"/>
      <c r="U77" s="1"/>
      <c r="V77" s="1"/>
      <c r="W77" s="1"/>
    </row>
    <row r="78" spans="1:23" ht="25.5" x14ac:dyDescent="0.2">
      <c r="A78" s="1">
        <v>5</v>
      </c>
      <c r="B78" s="12"/>
      <c r="C78" s="13"/>
      <c r="D78" s="12"/>
      <c r="E78" s="18">
        <v>621</v>
      </c>
      <c r="F78" s="12" t="s">
        <v>268</v>
      </c>
      <c r="G78" s="19"/>
      <c r="H78" s="16" t="s">
        <v>664</v>
      </c>
      <c r="I78" s="18">
        <v>8.1999999999999993</v>
      </c>
      <c r="J78" s="13" t="s">
        <v>440</v>
      </c>
      <c r="K78" s="18"/>
      <c r="L78" s="12"/>
      <c r="M78" s="14"/>
      <c r="N78" s="14"/>
      <c r="O78" s="21"/>
      <c r="P78" s="21"/>
      <c r="Q78" s="1"/>
      <c r="R78" s="1"/>
      <c r="S78" s="1"/>
      <c r="T78" s="1"/>
      <c r="U78" s="1"/>
      <c r="V78" s="1"/>
      <c r="W78" s="1"/>
    </row>
    <row r="79" spans="1:23" ht="25.5" x14ac:dyDescent="0.2">
      <c r="A79" s="1">
        <v>6</v>
      </c>
      <c r="B79" s="12" t="s">
        <v>497</v>
      </c>
      <c r="C79" s="13"/>
      <c r="D79" s="12"/>
      <c r="E79" s="12"/>
      <c r="F79" s="12"/>
      <c r="G79" s="19"/>
      <c r="H79" s="20" t="s">
        <v>708</v>
      </c>
      <c r="I79" s="12"/>
      <c r="J79" s="13"/>
      <c r="K79" s="12"/>
      <c r="L79" s="12"/>
      <c r="M79" s="17">
        <v>220000000</v>
      </c>
      <c r="N79" s="17">
        <f>+N81</f>
        <v>0</v>
      </c>
      <c r="O79" s="21"/>
      <c r="P79" s="21"/>
      <c r="Q79" s="1"/>
      <c r="R79" s="1"/>
      <c r="S79" s="1"/>
      <c r="T79" s="1"/>
      <c r="U79" s="1"/>
      <c r="V79" s="1"/>
      <c r="W79" s="1"/>
    </row>
    <row r="80" spans="1:23" ht="51" x14ac:dyDescent="0.2">
      <c r="A80" s="1">
        <v>7</v>
      </c>
      <c r="B80" s="12"/>
      <c r="C80" s="13"/>
      <c r="D80" s="12" t="s">
        <v>63</v>
      </c>
      <c r="E80" s="18">
        <v>581</v>
      </c>
      <c r="F80" s="12" t="s">
        <v>1080</v>
      </c>
      <c r="G80" s="19"/>
      <c r="H80" s="16" t="s">
        <v>117</v>
      </c>
      <c r="I80" s="18">
        <v>32</v>
      </c>
      <c r="J80" s="13" t="s">
        <v>924</v>
      </c>
      <c r="K80" s="18"/>
      <c r="L80" s="12"/>
      <c r="M80" s="14"/>
      <c r="N80" s="14"/>
      <c r="O80" s="21"/>
      <c r="P80" s="21"/>
      <c r="Q80" s="1"/>
      <c r="R80" s="1"/>
      <c r="S80" s="1"/>
      <c r="T80" s="1"/>
      <c r="U80" s="1"/>
      <c r="V80" s="1"/>
      <c r="W80" s="1"/>
    </row>
    <row r="81" spans="1:23" ht="51" x14ac:dyDescent="0.2">
      <c r="A81" s="1">
        <v>8</v>
      </c>
      <c r="B81" s="12"/>
      <c r="C81" s="13" t="s">
        <v>10</v>
      </c>
      <c r="D81" s="12"/>
      <c r="E81" s="12"/>
      <c r="F81" s="12"/>
      <c r="G81" s="19">
        <v>296068</v>
      </c>
      <c r="H81" s="16" t="s">
        <v>812</v>
      </c>
      <c r="I81" s="12"/>
      <c r="J81" s="13"/>
      <c r="K81" s="12"/>
      <c r="L81" s="12"/>
      <c r="M81" s="21">
        <v>220000000</v>
      </c>
      <c r="N81" s="21">
        <f>+N82</f>
        <v>0</v>
      </c>
      <c r="O81" s="21">
        <f t="shared" ref="O81:Q81" si="12">+O82</f>
        <v>0</v>
      </c>
      <c r="P81" s="21">
        <f t="shared" si="12"/>
        <v>0</v>
      </c>
      <c r="Q81" s="21">
        <f t="shared" si="12"/>
        <v>0</v>
      </c>
      <c r="R81" s="1"/>
      <c r="S81" s="1"/>
      <c r="T81" s="1"/>
      <c r="U81" s="1"/>
      <c r="V81" s="1"/>
      <c r="W81" s="1"/>
    </row>
    <row r="82" spans="1:23" x14ac:dyDescent="0.2">
      <c r="A82" s="1">
        <v>9</v>
      </c>
      <c r="B82" s="12"/>
      <c r="C82" s="13"/>
      <c r="D82" s="12"/>
      <c r="E82" s="12"/>
      <c r="F82" s="12"/>
      <c r="G82" s="19"/>
      <c r="H82" s="44" t="s">
        <v>835</v>
      </c>
      <c r="I82" s="12"/>
      <c r="J82" s="13"/>
      <c r="K82" s="12"/>
      <c r="L82" s="12"/>
      <c r="M82" s="21">
        <v>220000000</v>
      </c>
      <c r="N82" s="21">
        <v>0</v>
      </c>
      <c r="O82" s="21"/>
      <c r="P82" s="21"/>
      <c r="Q82" s="1"/>
      <c r="R82" s="1">
        <f t="shared" si="1"/>
        <v>0</v>
      </c>
      <c r="S82" s="1"/>
      <c r="T82" s="1"/>
      <c r="U82" s="1"/>
      <c r="V82" s="1"/>
      <c r="W82" s="1"/>
    </row>
    <row r="83" spans="1:23" x14ac:dyDescent="0.2">
      <c r="A83" s="1"/>
      <c r="B83" s="12"/>
      <c r="C83" s="13"/>
      <c r="D83" s="12"/>
      <c r="E83" s="12"/>
      <c r="F83" s="12"/>
      <c r="G83" s="19"/>
      <c r="H83" s="16"/>
      <c r="I83" s="12"/>
      <c r="J83" s="13"/>
      <c r="K83" s="12"/>
      <c r="L83" s="12"/>
      <c r="M83" s="21"/>
      <c r="N83" s="21"/>
      <c r="O83" s="21"/>
      <c r="P83" s="21"/>
      <c r="Q83" s="1"/>
      <c r="R83" s="1"/>
      <c r="S83" s="1"/>
      <c r="T83" s="1"/>
      <c r="U83" s="1"/>
      <c r="V83" s="1"/>
      <c r="W83" s="1"/>
    </row>
    <row r="84" spans="1:23" ht="30" x14ac:dyDescent="0.25">
      <c r="A84" s="1">
        <v>10</v>
      </c>
      <c r="B84" s="12"/>
      <c r="C84" s="13"/>
      <c r="D84" s="12"/>
      <c r="E84" s="12"/>
      <c r="F84" s="12"/>
      <c r="G84" s="19"/>
      <c r="H84" s="22" t="s">
        <v>87</v>
      </c>
      <c r="I84" s="23"/>
      <c r="J84" s="24"/>
      <c r="K84" s="23"/>
      <c r="L84" s="23"/>
      <c r="M84" s="25">
        <v>136412170600</v>
      </c>
      <c r="N84" s="25">
        <f>+N76+N34+N10</f>
        <v>55479471443</v>
      </c>
      <c r="O84" s="21"/>
      <c r="P84" s="21"/>
      <c r="Q84" s="1"/>
      <c r="R84" s="1"/>
      <c r="S84" s="1"/>
      <c r="T84" s="1"/>
      <c r="U84" s="1"/>
      <c r="V84" s="1"/>
      <c r="W84" s="1"/>
    </row>
    <row r="85" spans="1:23" x14ac:dyDescent="0.2">
      <c r="B85" s="28"/>
      <c r="C85" s="29"/>
      <c r="D85" s="28"/>
      <c r="E85" s="28"/>
      <c r="F85" s="28"/>
      <c r="G85" s="19"/>
      <c r="H85" s="30"/>
      <c r="I85" s="28"/>
      <c r="J85" s="29"/>
      <c r="K85" s="28"/>
      <c r="L85" s="28"/>
      <c r="M85" s="15"/>
      <c r="N85" s="15"/>
      <c r="O85" s="21"/>
      <c r="P85" s="21"/>
      <c r="Q85" s="1"/>
      <c r="R85" s="1"/>
      <c r="S85" s="1"/>
      <c r="T85" s="1"/>
      <c r="U85" s="1"/>
      <c r="V85" s="1"/>
      <c r="W85" s="1"/>
    </row>
    <row r="86" spans="1:23" x14ac:dyDescent="0.2">
      <c r="G86" s="11"/>
      <c r="O86" s="1"/>
      <c r="P86" s="1"/>
      <c r="Q86" s="1"/>
      <c r="R86" s="1"/>
      <c r="S86" s="1"/>
      <c r="T86" s="1"/>
      <c r="U86" s="1"/>
      <c r="V86" s="1"/>
      <c r="W86" s="1"/>
    </row>
    <row r="87" spans="1:23" x14ac:dyDescent="0.2">
      <c r="G87" s="11"/>
      <c r="H87" s="2" t="s">
        <v>1157</v>
      </c>
      <c r="N87" s="1" t="e">
        <f>+#REF!+N23+N26+N28+N30+N32+N51+N53+N59+N61+N63+N66+N68+N74+N82</f>
        <v>#REF!</v>
      </c>
      <c r="O87" s="1"/>
      <c r="P87" s="1"/>
      <c r="Q87" s="1"/>
      <c r="R87" s="1"/>
      <c r="S87" s="1"/>
      <c r="T87" s="1"/>
      <c r="U87" s="1"/>
      <c r="V87" s="1"/>
      <c r="W87" s="1"/>
    </row>
    <row r="88" spans="1:23" x14ac:dyDescent="0.2">
      <c r="G88" s="11"/>
      <c r="H88" s="2" t="s">
        <v>928</v>
      </c>
      <c r="N88" s="1">
        <f>+N57+N69</f>
        <v>28750000000</v>
      </c>
      <c r="O88" s="1"/>
      <c r="P88" s="1"/>
      <c r="Q88" s="1"/>
      <c r="R88" s="1"/>
      <c r="S88" s="1"/>
      <c r="T88" s="1"/>
      <c r="U88" s="1"/>
      <c r="V88" s="1"/>
      <c r="W88" s="1"/>
    </row>
    <row r="89" spans="1:23" x14ac:dyDescent="0.2">
      <c r="G89" s="11"/>
      <c r="H89" s="2" t="s">
        <v>88</v>
      </c>
      <c r="N89" s="1">
        <f>+N55</f>
        <v>0</v>
      </c>
      <c r="O89" s="1"/>
      <c r="P89" s="1"/>
      <c r="Q89" s="1"/>
      <c r="R89" s="1"/>
      <c r="S89" s="1"/>
      <c r="T89" s="1"/>
      <c r="U89" s="1"/>
      <c r="V89" s="1"/>
      <c r="W89" s="1"/>
    </row>
    <row r="90" spans="1:23" x14ac:dyDescent="0.2">
      <c r="G90" s="11"/>
      <c r="H90" s="2" t="s">
        <v>962</v>
      </c>
      <c r="N90" s="1">
        <f>+N56</f>
        <v>0</v>
      </c>
      <c r="O90" s="1"/>
      <c r="P90" s="1"/>
      <c r="Q90" s="1"/>
      <c r="R90" s="1"/>
      <c r="S90" s="1"/>
      <c r="T90" s="1"/>
      <c r="U90" s="1"/>
      <c r="V90" s="1"/>
      <c r="W90" s="1"/>
    </row>
    <row r="91" spans="1:23" x14ac:dyDescent="0.2">
      <c r="G91" s="11"/>
      <c r="H91" s="2" t="s">
        <v>785</v>
      </c>
      <c r="N91" s="1">
        <f>+N22+N25</f>
        <v>15177000000</v>
      </c>
      <c r="O91" s="1"/>
      <c r="P91" s="1"/>
      <c r="Q91" s="1"/>
      <c r="R91" s="1"/>
      <c r="S91" s="1"/>
      <c r="T91" s="1"/>
      <c r="U91" s="1"/>
      <c r="V91" s="1"/>
      <c r="W91" s="1"/>
    </row>
    <row r="92" spans="1:23" x14ac:dyDescent="0.2">
      <c r="G92" s="11"/>
      <c r="H92" s="2" t="s">
        <v>1114</v>
      </c>
      <c r="N92" s="1">
        <f>+N58</f>
        <v>11415071443</v>
      </c>
      <c r="O92" s="1"/>
      <c r="P92" s="1"/>
      <c r="Q92" s="1"/>
      <c r="R92" s="1"/>
      <c r="S92" s="1"/>
      <c r="T92" s="1"/>
      <c r="U92" s="1"/>
      <c r="V92" s="1"/>
      <c r="W92" s="1"/>
    </row>
    <row r="93" spans="1:23" x14ac:dyDescent="0.2">
      <c r="G93" s="11"/>
      <c r="H93" s="5"/>
      <c r="N93" s="6" t="e">
        <f>SUM(N87:N92)</f>
        <v>#REF!</v>
      </c>
      <c r="O93" s="1"/>
      <c r="P93" s="1"/>
      <c r="Q93" s="1"/>
      <c r="R93" s="1"/>
      <c r="S93" s="1"/>
      <c r="T93" s="1"/>
      <c r="U93" s="1"/>
      <c r="V93" s="1"/>
      <c r="W93" s="1"/>
    </row>
    <row r="94" spans="1:23" x14ac:dyDescent="0.2">
      <c r="G94" s="11"/>
      <c r="O94" s="1"/>
      <c r="P94" s="1"/>
      <c r="Q94" s="1"/>
      <c r="R94" s="1"/>
      <c r="S94" s="1"/>
      <c r="T94" s="1"/>
      <c r="U94" s="1"/>
      <c r="V94" s="1"/>
      <c r="W94" s="1"/>
    </row>
    <row r="95" spans="1:23" x14ac:dyDescent="0.2">
      <c r="G95" s="11"/>
      <c r="O95" s="1"/>
      <c r="P95" s="1"/>
      <c r="Q95" s="1"/>
      <c r="R95" s="1"/>
      <c r="S95" s="1"/>
      <c r="T95" s="1"/>
      <c r="U95" s="1"/>
      <c r="V95" s="1"/>
      <c r="W95" s="1"/>
    </row>
    <row r="96" spans="1:23" x14ac:dyDescent="0.2">
      <c r="G96" s="11"/>
      <c r="O96" s="1"/>
      <c r="P96" s="1"/>
      <c r="Q96" s="1"/>
      <c r="R96" s="1"/>
      <c r="S96" s="1"/>
      <c r="T96" s="1"/>
      <c r="U96" s="1"/>
      <c r="V96" s="1"/>
      <c r="W96" s="1"/>
    </row>
    <row r="97" spans="7:23" x14ac:dyDescent="0.2">
      <c r="G97" s="11"/>
      <c r="O97" s="1"/>
      <c r="P97" s="1"/>
      <c r="Q97" s="1"/>
      <c r="R97" s="1"/>
      <c r="S97" s="1"/>
      <c r="T97" s="1"/>
      <c r="U97" s="1"/>
      <c r="V97" s="1"/>
      <c r="W97" s="1"/>
    </row>
    <row r="98" spans="7:23" x14ac:dyDescent="0.2">
      <c r="G98" s="11"/>
      <c r="O98" s="1"/>
      <c r="P98" s="1"/>
      <c r="Q98" s="1"/>
      <c r="R98" s="1"/>
      <c r="S98" s="1"/>
      <c r="T98" s="1"/>
      <c r="U98" s="1"/>
      <c r="V98" s="1"/>
      <c r="W98" s="1"/>
    </row>
    <row r="99" spans="7:23" x14ac:dyDescent="0.2">
      <c r="G99" s="11"/>
      <c r="O99" s="1"/>
      <c r="P99" s="1"/>
      <c r="Q99" s="1"/>
      <c r="R99" s="1"/>
      <c r="S99" s="1"/>
      <c r="T99" s="1"/>
      <c r="U99" s="1"/>
      <c r="V99" s="1"/>
      <c r="W99" s="1"/>
    </row>
    <row r="100" spans="7:23" x14ac:dyDescent="0.2">
      <c r="G100" s="11"/>
      <c r="O100" s="1"/>
      <c r="P100" s="1"/>
      <c r="Q100" s="1"/>
      <c r="R100" s="1"/>
      <c r="S100" s="1"/>
      <c r="T100" s="1"/>
      <c r="U100" s="1"/>
      <c r="V100" s="1"/>
      <c r="W100" s="1"/>
    </row>
    <row r="101" spans="7:23" x14ac:dyDescent="0.2">
      <c r="G101" s="11"/>
      <c r="O101" s="1"/>
      <c r="P101" s="1"/>
      <c r="Q101" s="1"/>
      <c r="R101" s="1"/>
      <c r="S101" s="1"/>
      <c r="T101" s="1"/>
      <c r="U101" s="1"/>
      <c r="V101" s="1"/>
      <c r="W101" s="1"/>
    </row>
    <row r="102" spans="7:23" x14ac:dyDescent="0.2">
      <c r="G102" s="11"/>
      <c r="O102" s="1"/>
      <c r="P102" s="1"/>
      <c r="Q102" s="1"/>
      <c r="R102" s="1"/>
      <c r="S102" s="1"/>
      <c r="T102" s="1"/>
      <c r="U102" s="1"/>
      <c r="V102" s="1"/>
      <c r="W102" s="1"/>
    </row>
    <row r="103" spans="7:23" x14ac:dyDescent="0.2">
      <c r="G103" s="11"/>
      <c r="O103" s="1"/>
      <c r="P103" s="1"/>
      <c r="Q103" s="1"/>
      <c r="R103" s="1"/>
      <c r="S103" s="1"/>
      <c r="T103" s="1"/>
      <c r="U103" s="1"/>
      <c r="V103" s="1"/>
      <c r="W103" s="1"/>
    </row>
    <row r="104" spans="7:23" x14ac:dyDescent="0.2">
      <c r="G104" s="11"/>
      <c r="O104" s="1"/>
      <c r="P104" s="1"/>
      <c r="Q104" s="1"/>
      <c r="R104" s="1"/>
      <c r="S104" s="1"/>
      <c r="T104" s="1"/>
      <c r="U104" s="1"/>
      <c r="V104" s="1"/>
      <c r="W104" s="1"/>
    </row>
    <row r="105" spans="7:23" x14ac:dyDescent="0.2">
      <c r="G105" s="11"/>
      <c r="O105" s="1"/>
      <c r="P105" s="1"/>
      <c r="Q105" s="1"/>
      <c r="R105" s="1"/>
      <c r="S105" s="1"/>
      <c r="T105" s="1"/>
      <c r="U105" s="1"/>
      <c r="V105" s="1"/>
      <c r="W105" s="1"/>
    </row>
    <row r="106" spans="7:23" x14ac:dyDescent="0.2">
      <c r="G106" s="11"/>
      <c r="O106" s="1"/>
      <c r="P106" s="1"/>
      <c r="Q106" s="1"/>
      <c r="R106" s="1"/>
      <c r="S106" s="1"/>
      <c r="T106" s="1"/>
      <c r="U106" s="1"/>
      <c r="V106" s="1"/>
      <c r="W106" s="1"/>
    </row>
    <row r="107" spans="7:23" x14ac:dyDescent="0.2">
      <c r="G107" s="11"/>
    </row>
    <row r="108" spans="7:23" x14ac:dyDescent="0.2">
      <c r="G108" s="11"/>
    </row>
    <row r="109" spans="7:23" x14ac:dyDescent="0.2">
      <c r="G109" s="11"/>
    </row>
    <row r="110" spans="7:23" x14ac:dyDescent="0.2">
      <c r="G110" s="11"/>
    </row>
    <row r="111" spans="7:23" x14ac:dyDescent="0.2">
      <c r="G111" s="11"/>
    </row>
    <row r="112" spans="7:23" x14ac:dyDescent="0.2">
      <c r="G112" s="11"/>
    </row>
    <row r="113" spans="7:7" x14ac:dyDescent="0.2">
      <c r="G113" s="11"/>
    </row>
    <row r="114" spans="7:7" x14ac:dyDescent="0.2">
      <c r="G114" s="11"/>
    </row>
    <row r="115" spans="7:7" x14ac:dyDescent="0.2">
      <c r="G115" s="11"/>
    </row>
    <row r="116" spans="7:7" x14ac:dyDescent="0.2">
      <c r="G116" s="11"/>
    </row>
    <row r="117" spans="7:7" x14ac:dyDescent="0.2">
      <c r="G117" s="11"/>
    </row>
    <row r="118" spans="7:7" x14ac:dyDescent="0.2">
      <c r="G118" s="11"/>
    </row>
    <row r="119" spans="7:7" x14ac:dyDescent="0.2">
      <c r="G119" s="11"/>
    </row>
    <row r="120" spans="7:7" x14ac:dyDescent="0.2">
      <c r="G120" s="11"/>
    </row>
    <row r="121" spans="7:7" x14ac:dyDescent="0.2">
      <c r="G121" s="11"/>
    </row>
    <row r="122" spans="7:7" x14ac:dyDescent="0.2">
      <c r="G122" s="11"/>
    </row>
    <row r="123" spans="7:7" x14ac:dyDescent="0.2">
      <c r="G123" s="11"/>
    </row>
    <row r="124" spans="7:7" x14ac:dyDescent="0.2">
      <c r="G124" s="11"/>
    </row>
    <row r="125" spans="7:7" x14ac:dyDescent="0.2">
      <c r="G125" s="11"/>
    </row>
    <row r="126" spans="7:7" x14ac:dyDescent="0.2">
      <c r="G126" s="11"/>
    </row>
    <row r="127" spans="7:7" x14ac:dyDescent="0.2">
      <c r="G127" s="11"/>
    </row>
    <row r="128" spans="7:7" x14ac:dyDescent="0.2">
      <c r="G128" s="11"/>
    </row>
    <row r="129" spans="7:7" x14ac:dyDescent="0.2">
      <c r="G129" s="11"/>
    </row>
    <row r="130" spans="7:7" x14ac:dyDescent="0.2">
      <c r="G130" s="11"/>
    </row>
    <row r="131" spans="7:7" x14ac:dyDescent="0.2">
      <c r="G131" s="11"/>
    </row>
    <row r="132" spans="7:7" x14ac:dyDescent="0.2">
      <c r="G132" s="11"/>
    </row>
    <row r="133" spans="7:7" x14ac:dyDescent="0.2">
      <c r="G133" s="11"/>
    </row>
    <row r="134" spans="7:7" x14ac:dyDescent="0.2">
      <c r="G134" s="11"/>
    </row>
    <row r="135" spans="7:7" x14ac:dyDescent="0.2">
      <c r="G135" s="11"/>
    </row>
    <row r="136" spans="7:7" x14ac:dyDescent="0.2">
      <c r="G136" s="11"/>
    </row>
    <row r="137" spans="7:7" x14ac:dyDescent="0.2">
      <c r="G137" s="11"/>
    </row>
    <row r="138" spans="7:7" x14ac:dyDescent="0.2">
      <c r="G138" s="11"/>
    </row>
    <row r="139" spans="7:7" x14ac:dyDescent="0.2">
      <c r="G139" s="11"/>
    </row>
    <row r="140" spans="7:7" x14ac:dyDescent="0.2">
      <c r="G140" s="11"/>
    </row>
    <row r="141" spans="7:7" x14ac:dyDescent="0.2">
      <c r="G141" s="11"/>
    </row>
    <row r="142" spans="7:7" x14ac:dyDescent="0.2">
      <c r="G142" s="11"/>
    </row>
    <row r="143" spans="7:7" x14ac:dyDescent="0.2">
      <c r="G143" s="11"/>
    </row>
    <row r="144" spans="7:7" x14ac:dyDescent="0.2">
      <c r="G144" s="11"/>
    </row>
    <row r="145" spans="7:7" x14ac:dyDescent="0.2">
      <c r="G145" s="11"/>
    </row>
    <row r="146" spans="7:7" x14ac:dyDescent="0.2">
      <c r="G146" s="11"/>
    </row>
    <row r="147" spans="7:7" x14ac:dyDescent="0.2">
      <c r="G147" s="11"/>
    </row>
    <row r="148" spans="7:7" x14ac:dyDescent="0.2">
      <c r="G148" s="11"/>
    </row>
    <row r="149" spans="7:7" x14ac:dyDescent="0.2">
      <c r="G149" s="11"/>
    </row>
    <row r="150" spans="7:7" x14ac:dyDescent="0.2">
      <c r="G150" s="11"/>
    </row>
    <row r="151" spans="7:7" x14ac:dyDescent="0.2">
      <c r="G151" s="11"/>
    </row>
    <row r="152" spans="7:7" x14ac:dyDescent="0.2">
      <c r="G152" s="11"/>
    </row>
    <row r="153" spans="7:7" x14ac:dyDescent="0.2">
      <c r="G153" s="11"/>
    </row>
    <row r="154" spans="7:7" x14ac:dyDescent="0.2">
      <c r="G154" s="11"/>
    </row>
    <row r="155" spans="7:7" x14ac:dyDescent="0.2">
      <c r="G155" s="11"/>
    </row>
    <row r="156" spans="7:7" x14ac:dyDescent="0.2">
      <c r="G156" s="11"/>
    </row>
    <row r="157" spans="7:7" x14ac:dyDescent="0.2">
      <c r="G157" s="11"/>
    </row>
    <row r="158" spans="7:7" x14ac:dyDescent="0.2">
      <c r="G158" s="11"/>
    </row>
    <row r="159" spans="7:7" x14ac:dyDescent="0.2">
      <c r="G159" s="11"/>
    </row>
    <row r="160" spans="7:7" x14ac:dyDescent="0.2">
      <c r="G160" s="11"/>
    </row>
    <row r="161" spans="7:7" x14ac:dyDescent="0.2">
      <c r="G161" s="11"/>
    </row>
    <row r="162" spans="7:7" x14ac:dyDescent="0.2">
      <c r="G162" s="11"/>
    </row>
    <row r="163" spans="7:7" x14ac:dyDescent="0.2">
      <c r="G163" s="11"/>
    </row>
    <row r="164" spans="7:7" x14ac:dyDescent="0.2">
      <c r="G164" s="11"/>
    </row>
    <row r="165" spans="7:7" x14ac:dyDescent="0.2">
      <c r="G165" s="11"/>
    </row>
    <row r="166" spans="7:7" x14ac:dyDescent="0.2">
      <c r="G166" s="11"/>
    </row>
    <row r="167" spans="7:7" x14ac:dyDescent="0.2">
      <c r="G167" s="11"/>
    </row>
    <row r="168" spans="7:7" x14ac:dyDescent="0.2">
      <c r="G168" s="11"/>
    </row>
    <row r="169" spans="7:7" x14ac:dyDescent="0.2">
      <c r="G169" s="11"/>
    </row>
    <row r="170" spans="7:7" x14ac:dyDescent="0.2">
      <c r="G170" s="11"/>
    </row>
    <row r="171" spans="7:7" x14ac:dyDescent="0.2">
      <c r="G171" s="11"/>
    </row>
    <row r="172" spans="7:7" x14ac:dyDescent="0.2">
      <c r="G172" s="11"/>
    </row>
    <row r="173" spans="7:7" x14ac:dyDescent="0.2">
      <c r="G173" s="11"/>
    </row>
    <row r="174" spans="7:7" x14ac:dyDescent="0.2">
      <c r="G174" s="11"/>
    </row>
    <row r="175" spans="7:7" x14ac:dyDescent="0.2">
      <c r="G175" s="11"/>
    </row>
    <row r="176" spans="7:7" x14ac:dyDescent="0.2">
      <c r="G176" s="11"/>
    </row>
    <row r="177" spans="7:7" x14ac:dyDescent="0.2">
      <c r="G177" s="11"/>
    </row>
    <row r="178" spans="7:7" x14ac:dyDescent="0.2">
      <c r="G178" s="11"/>
    </row>
    <row r="179" spans="7:7" x14ac:dyDescent="0.2">
      <c r="G179" s="11"/>
    </row>
    <row r="180" spans="7:7" x14ac:dyDescent="0.2">
      <c r="G180" s="11"/>
    </row>
    <row r="181" spans="7:7" x14ac:dyDescent="0.2">
      <c r="G181" s="11"/>
    </row>
    <row r="182" spans="7:7" x14ac:dyDescent="0.2">
      <c r="G182" s="11"/>
    </row>
    <row r="183" spans="7:7" x14ac:dyDescent="0.2">
      <c r="G183" s="11"/>
    </row>
    <row r="184" spans="7:7" x14ac:dyDescent="0.2">
      <c r="G184" s="11"/>
    </row>
    <row r="185" spans="7:7" x14ac:dyDescent="0.2">
      <c r="G185" s="11"/>
    </row>
    <row r="186" spans="7:7" x14ac:dyDescent="0.2">
      <c r="G186" s="11"/>
    </row>
    <row r="187" spans="7:7" x14ac:dyDescent="0.2">
      <c r="G187" s="11"/>
    </row>
    <row r="188" spans="7:7" x14ac:dyDescent="0.2">
      <c r="G188" s="11"/>
    </row>
    <row r="189" spans="7:7" x14ac:dyDescent="0.2">
      <c r="G189" s="11"/>
    </row>
    <row r="190" spans="7:7" x14ac:dyDescent="0.2">
      <c r="G190" s="11"/>
    </row>
    <row r="191" spans="7:7" x14ac:dyDescent="0.2">
      <c r="G191" s="11"/>
    </row>
    <row r="192" spans="7:7" x14ac:dyDescent="0.2">
      <c r="G192" s="11"/>
    </row>
    <row r="193" spans="7:7" x14ac:dyDescent="0.2">
      <c r="G193" s="11"/>
    </row>
    <row r="194" spans="7:7" x14ac:dyDescent="0.2">
      <c r="G194" s="11"/>
    </row>
    <row r="195" spans="7:7" x14ac:dyDescent="0.2">
      <c r="G195" s="11"/>
    </row>
    <row r="196" spans="7:7" x14ac:dyDescent="0.2">
      <c r="G196" s="11"/>
    </row>
    <row r="197" spans="7:7" x14ac:dyDescent="0.2">
      <c r="G197" s="11"/>
    </row>
    <row r="198" spans="7:7" x14ac:dyDescent="0.2">
      <c r="G198" s="11"/>
    </row>
    <row r="199" spans="7:7" x14ac:dyDescent="0.2">
      <c r="G199" s="11"/>
    </row>
    <row r="200" spans="7:7" x14ac:dyDescent="0.2">
      <c r="G200" s="11"/>
    </row>
    <row r="201" spans="7:7" x14ac:dyDescent="0.2">
      <c r="G201" s="11"/>
    </row>
    <row r="202" spans="7:7" x14ac:dyDescent="0.2">
      <c r="G202" s="11"/>
    </row>
    <row r="203" spans="7:7" x14ac:dyDescent="0.2">
      <c r="G203" s="11"/>
    </row>
    <row r="204" spans="7:7" x14ac:dyDescent="0.2">
      <c r="G204" s="11"/>
    </row>
    <row r="205" spans="7:7" x14ac:dyDescent="0.2">
      <c r="G205" s="11"/>
    </row>
    <row r="206" spans="7:7" x14ac:dyDescent="0.2">
      <c r="G206" s="11"/>
    </row>
    <row r="207" spans="7:7" x14ac:dyDescent="0.2">
      <c r="G207" s="11"/>
    </row>
    <row r="208" spans="7:7" x14ac:dyDescent="0.2">
      <c r="G208" s="11"/>
    </row>
    <row r="209" spans="7:7" x14ac:dyDescent="0.2">
      <c r="G209" s="11"/>
    </row>
    <row r="210" spans="7:7" x14ac:dyDescent="0.2">
      <c r="G210" s="11"/>
    </row>
    <row r="211" spans="7:7" x14ac:dyDescent="0.2">
      <c r="G211" s="11"/>
    </row>
    <row r="212" spans="7:7" x14ac:dyDescent="0.2">
      <c r="G212" s="11"/>
    </row>
    <row r="213" spans="7:7" x14ac:dyDescent="0.2">
      <c r="G213" s="11"/>
    </row>
    <row r="214" spans="7:7" x14ac:dyDescent="0.2">
      <c r="G214" s="11"/>
    </row>
    <row r="215" spans="7:7" x14ac:dyDescent="0.2">
      <c r="G215" s="11"/>
    </row>
    <row r="216" spans="7:7" x14ac:dyDescent="0.2">
      <c r="G216" s="11"/>
    </row>
    <row r="217" spans="7:7" x14ac:dyDescent="0.2">
      <c r="G217" s="11"/>
    </row>
    <row r="218" spans="7:7" x14ac:dyDescent="0.2">
      <c r="G218" s="11"/>
    </row>
    <row r="219" spans="7:7" x14ac:dyDescent="0.2">
      <c r="G219" s="11"/>
    </row>
    <row r="220" spans="7:7" x14ac:dyDescent="0.2">
      <c r="G220" s="11"/>
    </row>
    <row r="221" spans="7:7" x14ac:dyDescent="0.2">
      <c r="G221" s="11"/>
    </row>
    <row r="222" spans="7:7" x14ac:dyDescent="0.2">
      <c r="G222" s="11"/>
    </row>
    <row r="223" spans="7:7" x14ac:dyDescent="0.2">
      <c r="G223" s="11"/>
    </row>
    <row r="224" spans="7:7" x14ac:dyDescent="0.2">
      <c r="G224" s="11"/>
    </row>
    <row r="225" spans="7:7" x14ac:dyDescent="0.2">
      <c r="G225" s="11"/>
    </row>
    <row r="226" spans="7:7" x14ac:dyDescent="0.2">
      <c r="G226" s="11"/>
    </row>
    <row r="227" spans="7:7" x14ac:dyDescent="0.2">
      <c r="G227" s="11"/>
    </row>
    <row r="228" spans="7:7" x14ac:dyDescent="0.2">
      <c r="G228" s="11"/>
    </row>
    <row r="229" spans="7:7" x14ac:dyDescent="0.2">
      <c r="G229" s="11"/>
    </row>
    <row r="230" spans="7:7" x14ac:dyDescent="0.2">
      <c r="G230" s="11"/>
    </row>
    <row r="231" spans="7:7" x14ac:dyDescent="0.2">
      <c r="G231" s="11"/>
    </row>
    <row r="232" spans="7:7" x14ac:dyDescent="0.2">
      <c r="G232" s="11"/>
    </row>
    <row r="233" spans="7:7" x14ac:dyDescent="0.2">
      <c r="G233" s="11"/>
    </row>
    <row r="234" spans="7:7" x14ac:dyDescent="0.2">
      <c r="G234" s="11"/>
    </row>
    <row r="235" spans="7:7" x14ac:dyDescent="0.2">
      <c r="G235" s="11"/>
    </row>
    <row r="236" spans="7:7" x14ac:dyDescent="0.2">
      <c r="G236" s="11"/>
    </row>
    <row r="237" spans="7:7" x14ac:dyDescent="0.2">
      <c r="G237" s="11"/>
    </row>
    <row r="238" spans="7:7" x14ac:dyDescent="0.2">
      <c r="G238" s="11"/>
    </row>
    <row r="239" spans="7:7" x14ac:dyDescent="0.2">
      <c r="G239" s="11"/>
    </row>
    <row r="240" spans="7:7" x14ac:dyDescent="0.2">
      <c r="G240" s="11"/>
    </row>
    <row r="241" spans="7:7" x14ac:dyDescent="0.2">
      <c r="G241" s="11"/>
    </row>
    <row r="242" spans="7:7" x14ac:dyDescent="0.2">
      <c r="G242" s="11"/>
    </row>
    <row r="243" spans="7:7" x14ac:dyDescent="0.2">
      <c r="G243" s="11"/>
    </row>
    <row r="244" spans="7:7" x14ac:dyDescent="0.2">
      <c r="G244" s="11"/>
    </row>
    <row r="245" spans="7:7" x14ac:dyDescent="0.2">
      <c r="G245" s="11"/>
    </row>
    <row r="246" spans="7:7" x14ac:dyDescent="0.2">
      <c r="G246" s="11"/>
    </row>
    <row r="247" spans="7:7" x14ac:dyDescent="0.2">
      <c r="G247" s="11"/>
    </row>
    <row r="248" spans="7:7" x14ac:dyDescent="0.2">
      <c r="G248" s="11"/>
    </row>
    <row r="249" spans="7:7" x14ac:dyDescent="0.2">
      <c r="G249" s="11"/>
    </row>
    <row r="250" spans="7:7" x14ac:dyDescent="0.2">
      <c r="G250" s="11"/>
    </row>
    <row r="251" spans="7:7" x14ac:dyDescent="0.2">
      <c r="G251" s="11"/>
    </row>
    <row r="252" spans="7:7" x14ac:dyDescent="0.2">
      <c r="G252" s="11"/>
    </row>
    <row r="253" spans="7:7" x14ac:dyDescent="0.2">
      <c r="G253" s="11"/>
    </row>
    <row r="254" spans="7:7" x14ac:dyDescent="0.2">
      <c r="G254" s="11"/>
    </row>
    <row r="255" spans="7:7" x14ac:dyDescent="0.2">
      <c r="G255" s="11"/>
    </row>
    <row r="256" spans="7:7" x14ac:dyDescent="0.2">
      <c r="G256" s="11"/>
    </row>
    <row r="257" spans="7:7" x14ac:dyDescent="0.2">
      <c r="G257" s="11"/>
    </row>
    <row r="258" spans="7:7" x14ac:dyDescent="0.2">
      <c r="G258" s="11"/>
    </row>
    <row r="259" spans="7:7" x14ac:dyDescent="0.2">
      <c r="G259" s="11"/>
    </row>
    <row r="260" spans="7:7" x14ac:dyDescent="0.2">
      <c r="G260" s="11"/>
    </row>
    <row r="261" spans="7:7" x14ac:dyDescent="0.2">
      <c r="G261" s="11"/>
    </row>
    <row r="262" spans="7:7" x14ac:dyDescent="0.2">
      <c r="G262" s="11"/>
    </row>
    <row r="263" spans="7:7" x14ac:dyDescent="0.2">
      <c r="G263" s="11"/>
    </row>
    <row r="264" spans="7:7" x14ac:dyDescent="0.2">
      <c r="G264" s="11"/>
    </row>
    <row r="265" spans="7:7" x14ac:dyDescent="0.2">
      <c r="G265" s="11"/>
    </row>
    <row r="266" spans="7:7" x14ac:dyDescent="0.2">
      <c r="G266" s="11"/>
    </row>
    <row r="267" spans="7:7" x14ac:dyDescent="0.2">
      <c r="G267" s="11"/>
    </row>
    <row r="268" spans="7:7" x14ac:dyDescent="0.2">
      <c r="G268" s="11"/>
    </row>
    <row r="269" spans="7:7" x14ac:dyDescent="0.2">
      <c r="G269" s="11"/>
    </row>
    <row r="270" spans="7:7" x14ac:dyDescent="0.2">
      <c r="G270" s="11"/>
    </row>
    <row r="271" spans="7:7" x14ac:dyDescent="0.2">
      <c r="G271" s="11"/>
    </row>
    <row r="272" spans="7:7" x14ac:dyDescent="0.2">
      <c r="G272" s="11"/>
    </row>
    <row r="273" spans="7:7" x14ac:dyDescent="0.2">
      <c r="G273" s="11"/>
    </row>
    <row r="274" spans="7:7" x14ac:dyDescent="0.2">
      <c r="G274" s="11"/>
    </row>
    <row r="275" spans="7:7" x14ac:dyDescent="0.2">
      <c r="G275" s="11"/>
    </row>
    <row r="276" spans="7:7" x14ac:dyDescent="0.2">
      <c r="G276" s="11"/>
    </row>
    <row r="277" spans="7:7" x14ac:dyDescent="0.2">
      <c r="G277" s="11"/>
    </row>
    <row r="278" spans="7:7" x14ac:dyDescent="0.2">
      <c r="G278" s="11"/>
    </row>
    <row r="279" spans="7:7" x14ac:dyDescent="0.2">
      <c r="G279" s="11"/>
    </row>
    <row r="280" spans="7:7" x14ac:dyDescent="0.2">
      <c r="G280" s="11"/>
    </row>
    <row r="281" spans="7:7" x14ac:dyDescent="0.2">
      <c r="G281" s="11"/>
    </row>
    <row r="282" spans="7:7" x14ac:dyDescent="0.2">
      <c r="G282" s="11"/>
    </row>
    <row r="283" spans="7:7" x14ac:dyDescent="0.2">
      <c r="G283" s="11"/>
    </row>
    <row r="284" spans="7:7" x14ac:dyDescent="0.2">
      <c r="G284" s="11"/>
    </row>
    <row r="285" spans="7:7" x14ac:dyDescent="0.2">
      <c r="G285" s="11"/>
    </row>
    <row r="286" spans="7:7" x14ac:dyDescent="0.2">
      <c r="G286" s="11"/>
    </row>
    <row r="287" spans="7:7" x14ac:dyDescent="0.2">
      <c r="G287" s="11"/>
    </row>
    <row r="288" spans="7:7" x14ac:dyDescent="0.2">
      <c r="G288" s="11"/>
    </row>
    <row r="289" spans="7:7" x14ac:dyDescent="0.2">
      <c r="G289" s="11"/>
    </row>
    <row r="290" spans="7:7" x14ac:dyDescent="0.2">
      <c r="G290" s="11"/>
    </row>
    <row r="291" spans="7:7" x14ac:dyDescent="0.2">
      <c r="G291" s="11"/>
    </row>
    <row r="292" spans="7:7" x14ac:dyDescent="0.2">
      <c r="G292" s="11"/>
    </row>
    <row r="293" spans="7:7" x14ac:dyDescent="0.2">
      <c r="G293" s="11"/>
    </row>
    <row r="294" spans="7:7" x14ac:dyDescent="0.2">
      <c r="G294" s="11"/>
    </row>
    <row r="295" spans="7:7" x14ac:dyDescent="0.2">
      <c r="G295" s="11"/>
    </row>
    <row r="296" spans="7:7" x14ac:dyDescent="0.2">
      <c r="G296" s="11"/>
    </row>
    <row r="297" spans="7:7" x14ac:dyDescent="0.2">
      <c r="G297" s="11"/>
    </row>
    <row r="298" spans="7:7" x14ac:dyDescent="0.2">
      <c r="G298" s="11"/>
    </row>
    <row r="299" spans="7:7" x14ac:dyDescent="0.2">
      <c r="G299" s="11"/>
    </row>
    <row r="300" spans="7:7" x14ac:dyDescent="0.2">
      <c r="G300" s="11"/>
    </row>
    <row r="301" spans="7:7" x14ac:dyDescent="0.2">
      <c r="G301" s="11"/>
    </row>
    <row r="302" spans="7:7" x14ac:dyDescent="0.2">
      <c r="G302" s="11"/>
    </row>
    <row r="303" spans="7:7" x14ac:dyDescent="0.2">
      <c r="G303" s="11"/>
    </row>
    <row r="304" spans="7:7" x14ac:dyDescent="0.2">
      <c r="G304" s="11"/>
    </row>
    <row r="305" spans="7:7" x14ac:dyDescent="0.2">
      <c r="G305" s="11"/>
    </row>
    <row r="306" spans="7:7" x14ac:dyDescent="0.2">
      <c r="G306" s="11"/>
    </row>
    <row r="307" spans="7:7" x14ac:dyDescent="0.2">
      <c r="G307"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30"/>
  <sheetViews>
    <sheetView topLeftCell="G116" zoomScale="80" zoomScaleNormal="80" workbookViewId="0">
      <selection activeCell="H131" sqref="H131:U154"/>
    </sheetView>
  </sheetViews>
  <sheetFormatPr baseColWidth="10" defaultColWidth="9.140625" defaultRowHeight="12.75" x14ac:dyDescent="0.2"/>
  <cols>
    <col min="1" max="1" width="13.42578125" style="32" hidden="1" customWidth="1"/>
    <col min="2" max="2" width="9.42578125" style="69" customWidth="1"/>
    <col min="3" max="3" width="18" style="70" customWidth="1"/>
    <col min="4" max="4" width="8.28515625" style="69" customWidth="1"/>
    <col min="5" max="5" width="9.140625" style="69"/>
    <col min="6" max="6" width="12.85546875" style="69" customWidth="1"/>
    <col min="7" max="7" width="10" style="69" customWidth="1"/>
    <col min="8" max="8" width="69.140625"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1" spans="1:127" x14ac:dyDescent="0.2">
      <c r="N1" s="37"/>
      <c r="O1" s="37"/>
      <c r="P1" s="37"/>
      <c r="Q1" s="37"/>
      <c r="R1" s="37"/>
      <c r="S1" s="37"/>
      <c r="T1" s="37"/>
    </row>
    <row r="2" spans="1:127" ht="24" customHeight="1" x14ac:dyDescent="0.2">
      <c r="B2" s="187" t="s">
        <v>1103</v>
      </c>
      <c r="C2" s="187"/>
      <c r="D2" s="187"/>
      <c r="E2" s="187"/>
      <c r="F2" s="187"/>
      <c r="G2" s="187"/>
      <c r="H2" s="187"/>
      <c r="I2" s="187"/>
      <c r="J2" s="187"/>
      <c r="K2" s="187"/>
      <c r="L2" s="187"/>
      <c r="M2" s="187"/>
      <c r="N2" s="37"/>
      <c r="O2" s="37"/>
      <c r="P2" s="37"/>
      <c r="Q2" s="37"/>
      <c r="R2" s="37"/>
      <c r="S2" s="37"/>
      <c r="T2" s="37"/>
    </row>
    <row r="3" spans="1:127" x14ac:dyDescent="0.2">
      <c r="N3" s="37"/>
      <c r="O3" s="37"/>
      <c r="P3" s="37"/>
      <c r="Q3" s="37"/>
      <c r="R3" s="37"/>
      <c r="S3" s="37"/>
      <c r="T3" s="37"/>
    </row>
    <row r="4" spans="1:127" s="33" customFormat="1" ht="63.75" customHeight="1" x14ac:dyDescent="0.2">
      <c r="A4" s="33" t="s">
        <v>641</v>
      </c>
      <c r="B4" s="71" t="s">
        <v>1100</v>
      </c>
      <c r="C4" s="71" t="s">
        <v>1092</v>
      </c>
      <c r="D4" s="35" t="s">
        <v>1091</v>
      </c>
      <c r="E4" s="107" t="s">
        <v>1097</v>
      </c>
      <c r="F4" s="108" t="s">
        <v>1098</v>
      </c>
      <c r="G4" s="108" t="s">
        <v>1093</v>
      </c>
      <c r="H4" s="107" t="s">
        <v>409</v>
      </c>
      <c r="I4" s="107" t="s">
        <v>1094</v>
      </c>
      <c r="J4" s="107" t="s">
        <v>1095</v>
      </c>
      <c r="K4" s="107" t="s">
        <v>1104</v>
      </c>
      <c r="L4" s="107" t="s">
        <v>1096</v>
      </c>
      <c r="M4" s="107" t="s">
        <v>1099</v>
      </c>
      <c r="N4" s="41"/>
      <c r="O4" s="41"/>
      <c r="P4" s="41"/>
      <c r="Q4" s="41"/>
      <c r="R4" s="41"/>
      <c r="S4" s="41"/>
      <c r="T4" s="41"/>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row>
    <row r="5" spans="1:127" s="35" customFormat="1" x14ac:dyDescent="0.2">
      <c r="A5" s="39"/>
      <c r="B5" s="49"/>
      <c r="C5" s="50"/>
      <c r="D5" s="49"/>
      <c r="E5" s="109"/>
      <c r="F5" s="109"/>
      <c r="G5" s="110"/>
      <c r="H5" s="111"/>
      <c r="I5" s="109"/>
      <c r="J5" s="111"/>
      <c r="K5" s="109"/>
      <c r="L5" s="109"/>
      <c r="M5" s="112"/>
      <c r="N5" s="39"/>
      <c r="O5" s="39"/>
      <c r="P5" s="39"/>
      <c r="Q5" s="39"/>
      <c r="R5" s="39"/>
      <c r="S5" s="39"/>
      <c r="T5" s="39"/>
    </row>
    <row r="6" spans="1:127" s="35" customFormat="1" ht="15.75" x14ac:dyDescent="0.2">
      <c r="A6" s="39">
        <v>0</v>
      </c>
      <c r="B6" s="49"/>
      <c r="C6" s="50"/>
      <c r="D6" s="49"/>
      <c r="E6" s="109"/>
      <c r="F6" s="109"/>
      <c r="G6" s="110"/>
      <c r="H6" s="113" t="s">
        <v>28</v>
      </c>
      <c r="I6" s="109"/>
      <c r="J6" s="111"/>
      <c r="K6" s="109"/>
      <c r="L6" s="109"/>
      <c r="M6" s="109"/>
      <c r="N6" s="39"/>
      <c r="O6" s="39"/>
      <c r="P6" s="39"/>
      <c r="Q6" s="39"/>
      <c r="R6" s="39"/>
      <c r="S6" s="39"/>
      <c r="T6" s="39"/>
    </row>
    <row r="7" spans="1:127" s="35" customFormat="1" ht="15.75" x14ac:dyDescent="0.2">
      <c r="A7" s="39">
        <v>1</v>
      </c>
      <c r="B7" s="49"/>
      <c r="C7" s="50"/>
      <c r="D7" s="49"/>
      <c r="E7" s="109"/>
      <c r="F7" s="109"/>
      <c r="G7" s="110"/>
      <c r="H7" s="113" t="s">
        <v>146</v>
      </c>
      <c r="I7" s="109"/>
      <c r="J7" s="111"/>
      <c r="K7" s="109"/>
      <c r="L7" s="109"/>
      <c r="M7" s="109"/>
      <c r="N7" s="39"/>
      <c r="O7" s="39"/>
      <c r="P7" s="39"/>
      <c r="Q7" s="39"/>
      <c r="R7" s="39"/>
      <c r="S7" s="39"/>
      <c r="T7" s="39"/>
    </row>
    <row r="8" spans="1:127" x14ac:dyDescent="0.2">
      <c r="A8" s="37">
        <v>2</v>
      </c>
      <c r="B8" s="52"/>
      <c r="C8" s="53"/>
      <c r="D8" s="52"/>
      <c r="E8" s="99"/>
      <c r="F8" s="99"/>
      <c r="G8" s="101"/>
      <c r="H8" s="46"/>
      <c r="I8" s="99"/>
      <c r="J8" s="100"/>
      <c r="K8" s="99"/>
      <c r="L8" s="99"/>
      <c r="M8" s="114"/>
      <c r="N8" s="37"/>
      <c r="O8" s="37"/>
      <c r="P8" s="37"/>
      <c r="Q8" s="37"/>
      <c r="R8" s="37"/>
      <c r="S8" s="37"/>
      <c r="T8" s="37"/>
    </row>
    <row r="9" spans="1:127" s="33" customFormat="1" x14ac:dyDescent="0.2">
      <c r="A9" s="38">
        <v>3</v>
      </c>
      <c r="B9" s="49" t="s">
        <v>301</v>
      </c>
      <c r="C9" s="50"/>
      <c r="D9" s="49"/>
      <c r="E9" s="109"/>
      <c r="F9" s="109"/>
      <c r="G9" s="110"/>
      <c r="H9" s="45" t="s">
        <v>981</v>
      </c>
      <c r="I9" s="109"/>
      <c r="J9" s="111"/>
      <c r="K9" s="109"/>
      <c r="L9" s="109"/>
      <c r="M9" s="115">
        <f>+M10+M17+M24+M31+M38+M64</f>
        <v>2809000000</v>
      </c>
      <c r="N9" s="38"/>
      <c r="O9" s="38"/>
      <c r="P9" s="38"/>
      <c r="Q9" s="38"/>
      <c r="R9" s="38"/>
      <c r="S9" s="38"/>
      <c r="T9" s="38"/>
    </row>
    <row r="10" spans="1:127" s="33" customFormat="1" x14ac:dyDescent="0.2">
      <c r="A10" s="38">
        <v>4</v>
      </c>
      <c r="B10" s="49" t="s">
        <v>857</v>
      </c>
      <c r="C10" s="50"/>
      <c r="D10" s="49"/>
      <c r="E10" s="109"/>
      <c r="F10" s="109"/>
      <c r="G10" s="110"/>
      <c r="H10" s="116" t="s">
        <v>387</v>
      </c>
      <c r="I10" s="109"/>
      <c r="J10" s="111"/>
      <c r="K10" s="109"/>
      <c r="L10" s="109"/>
      <c r="M10" s="115">
        <f>+M12</f>
        <v>20000000</v>
      </c>
      <c r="N10" s="38"/>
      <c r="O10" s="38"/>
      <c r="P10" s="38"/>
      <c r="Q10" s="38"/>
      <c r="R10" s="38"/>
      <c r="S10" s="38"/>
      <c r="T10" s="38"/>
    </row>
    <row r="11" spans="1:127" ht="25.5" x14ac:dyDescent="0.2">
      <c r="A11" s="37">
        <v>5</v>
      </c>
      <c r="B11" s="52"/>
      <c r="C11" s="53"/>
      <c r="D11" s="52"/>
      <c r="E11" s="117">
        <v>1</v>
      </c>
      <c r="F11" s="99" t="s">
        <v>268</v>
      </c>
      <c r="G11" s="101"/>
      <c r="H11" s="46" t="s">
        <v>1326</v>
      </c>
      <c r="I11" s="117">
        <v>4</v>
      </c>
      <c r="J11" s="100" t="s">
        <v>1327</v>
      </c>
      <c r="K11" s="99"/>
      <c r="L11" s="99"/>
      <c r="M11" s="114"/>
      <c r="N11" s="37"/>
      <c r="O11" s="37"/>
      <c r="P11" s="37"/>
      <c r="Q11" s="37"/>
      <c r="R11" s="37"/>
      <c r="S11" s="37"/>
      <c r="T11" s="37"/>
    </row>
    <row r="12" spans="1:127" s="33" customFormat="1" x14ac:dyDescent="0.2">
      <c r="A12" s="38">
        <v>6</v>
      </c>
      <c r="B12" s="49" t="s">
        <v>285</v>
      </c>
      <c r="C12" s="50"/>
      <c r="D12" s="49"/>
      <c r="E12" s="109"/>
      <c r="F12" s="109"/>
      <c r="G12" s="110"/>
      <c r="H12" s="116" t="s">
        <v>439</v>
      </c>
      <c r="I12" s="109"/>
      <c r="J12" s="111"/>
      <c r="K12" s="109"/>
      <c r="L12" s="109"/>
      <c r="M12" s="115">
        <f>+M14</f>
        <v>20000000</v>
      </c>
      <c r="N12" s="38"/>
      <c r="O12" s="38"/>
      <c r="P12" s="38"/>
      <c r="Q12" s="38"/>
      <c r="R12" s="38"/>
      <c r="S12" s="38"/>
      <c r="T12" s="38"/>
    </row>
    <row r="13" spans="1:127" ht="25.5" x14ac:dyDescent="0.2">
      <c r="A13" s="37">
        <v>7</v>
      </c>
      <c r="B13" s="52"/>
      <c r="C13" s="53"/>
      <c r="D13" s="52" t="s">
        <v>538</v>
      </c>
      <c r="E13" s="117">
        <v>32</v>
      </c>
      <c r="F13" s="99" t="s">
        <v>1080</v>
      </c>
      <c r="G13" s="101"/>
      <c r="H13" s="46" t="s">
        <v>1324</v>
      </c>
      <c r="I13" s="117">
        <v>100</v>
      </c>
      <c r="J13" s="100" t="s">
        <v>804</v>
      </c>
      <c r="K13" s="117">
        <v>0</v>
      </c>
      <c r="L13" s="99" t="s">
        <v>1165</v>
      </c>
      <c r="M13" s="114"/>
      <c r="N13" s="37"/>
      <c r="O13" s="37"/>
      <c r="P13" s="37"/>
      <c r="Q13" s="37"/>
      <c r="R13" s="37"/>
      <c r="S13" s="37"/>
      <c r="T13" s="37"/>
    </row>
    <row r="14" spans="1:127" ht="38.25" x14ac:dyDescent="0.2">
      <c r="A14" s="37">
        <v>8</v>
      </c>
      <c r="B14" s="52"/>
      <c r="C14" s="53" t="s">
        <v>10</v>
      </c>
      <c r="D14" s="52"/>
      <c r="E14" s="99"/>
      <c r="F14" s="99"/>
      <c r="G14" s="101">
        <v>296153</v>
      </c>
      <c r="H14" s="46" t="s">
        <v>1325</v>
      </c>
      <c r="I14" s="99"/>
      <c r="J14" s="100"/>
      <c r="K14" s="99"/>
      <c r="L14" s="99"/>
      <c r="M14" s="98">
        <f>+M15</f>
        <v>20000000</v>
      </c>
      <c r="N14" s="37"/>
      <c r="O14" s="37"/>
      <c r="P14" s="37"/>
      <c r="Q14" s="37"/>
      <c r="R14" s="37"/>
      <c r="S14" s="37"/>
      <c r="T14" s="37"/>
    </row>
    <row r="15" spans="1:127" x14ac:dyDescent="0.2">
      <c r="A15" s="37">
        <v>9</v>
      </c>
      <c r="B15" s="52"/>
      <c r="C15" s="53"/>
      <c r="D15" s="52"/>
      <c r="E15" s="99"/>
      <c r="F15" s="99"/>
      <c r="G15" s="101"/>
      <c r="H15" s="46" t="s">
        <v>835</v>
      </c>
      <c r="I15" s="99"/>
      <c r="J15" s="100"/>
      <c r="K15" s="99"/>
      <c r="L15" s="99"/>
      <c r="M15" s="98">
        <v>20000000</v>
      </c>
      <c r="N15" s="37"/>
      <c r="O15" s="37"/>
      <c r="P15" s="37"/>
      <c r="Q15" s="37"/>
      <c r="R15" s="37"/>
      <c r="S15" s="37"/>
      <c r="T15" s="37"/>
    </row>
    <row r="16" spans="1:127" x14ac:dyDescent="0.2">
      <c r="A16" s="37"/>
      <c r="B16" s="52"/>
      <c r="C16" s="53"/>
      <c r="D16" s="52"/>
      <c r="E16" s="99"/>
      <c r="F16" s="99"/>
      <c r="G16" s="101"/>
      <c r="H16" s="46"/>
      <c r="I16" s="99"/>
      <c r="J16" s="100"/>
      <c r="K16" s="99"/>
      <c r="L16" s="99"/>
      <c r="M16" s="98"/>
      <c r="N16" s="37"/>
      <c r="O16" s="37"/>
      <c r="P16" s="37"/>
      <c r="Q16" s="37"/>
      <c r="R16" s="37"/>
      <c r="S16" s="37"/>
      <c r="T16" s="37"/>
    </row>
    <row r="17" spans="1:20" x14ac:dyDescent="0.2">
      <c r="A17" s="37">
        <v>4</v>
      </c>
      <c r="B17" s="52" t="s">
        <v>497</v>
      </c>
      <c r="C17" s="53"/>
      <c r="D17" s="52"/>
      <c r="E17" s="99"/>
      <c r="F17" s="99"/>
      <c r="G17" s="101"/>
      <c r="H17" s="116" t="s">
        <v>673</v>
      </c>
      <c r="I17" s="99"/>
      <c r="J17" s="100"/>
      <c r="K17" s="99"/>
      <c r="L17" s="99"/>
      <c r="M17" s="115">
        <f>+M19</f>
        <v>20000000</v>
      </c>
      <c r="N17" s="37"/>
      <c r="O17" s="37"/>
      <c r="P17" s="37"/>
      <c r="Q17" s="37"/>
      <c r="R17" s="37"/>
      <c r="S17" s="37"/>
      <c r="T17" s="37"/>
    </row>
    <row r="18" spans="1:20" ht="25.5" x14ac:dyDescent="0.2">
      <c r="A18" s="37"/>
      <c r="B18" s="52"/>
      <c r="C18" s="53"/>
      <c r="D18" s="52"/>
      <c r="E18" s="99" t="s">
        <v>1328</v>
      </c>
      <c r="F18" s="99" t="s">
        <v>268</v>
      </c>
      <c r="G18" s="101"/>
      <c r="H18" s="118" t="s">
        <v>239</v>
      </c>
      <c r="I18" s="99" t="s">
        <v>114</v>
      </c>
      <c r="J18" s="100" t="s">
        <v>1327</v>
      </c>
      <c r="K18" s="99"/>
      <c r="L18" s="99"/>
      <c r="M18" s="115"/>
      <c r="N18" s="37"/>
      <c r="O18" s="37"/>
      <c r="P18" s="37"/>
      <c r="Q18" s="37"/>
      <c r="R18" s="37"/>
      <c r="S18" s="37"/>
      <c r="T18" s="37"/>
    </row>
    <row r="19" spans="1:20" x14ac:dyDescent="0.2">
      <c r="A19" s="37">
        <v>6</v>
      </c>
      <c r="B19" s="52" t="s">
        <v>285</v>
      </c>
      <c r="C19" s="53"/>
      <c r="D19" s="52"/>
      <c r="E19" s="99"/>
      <c r="F19" s="99"/>
      <c r="G19" s="101"/>
      <c r="H19" s="116" t="s">
        <v>439</v>
      </c>
      <c r="I19" s="99"/>
      <c r="J19" s="100"/>
      <c r="K19" s="99"/>
      <c r="L19" s="99"/>
      <c r="M19" s="115">
        <f>+M21</f>
        <v>20000000</v>
      </c>
      <c r="N19" s="37"/>
      <c r="O19" s="37"/>
      <c r="P19" s="37"/>
      <c r="Q19" s="37"/>
      <c r="R19" s="37"/>
      <c r="S19" s="37"/>
      <c r="T19" s="37"/>
    </row>
    <row r="20" spans="1:20" ht="25.5" x14ac:dyDescent="0.2">
      <c r="A20" s="37">
        <v>7</v>
      </c>
      <c r="B20" s="52"/>
      <c r="C20" s="53"/>
      <c r="D20" s="52" t="s">
        <v>538</v>
      </c>
      <c r="E20" s="117">
        <v>71</v>
      </c>
      <c r="F20" s="99" t="s">
        <v>1080</v>
      </c>
      <c r="G20" s="101"/>
      <c r="H20" s="46" t="s">
        <v>1026</v>
      </c>
      <c r="I20" s="117">
        <v>100</v>
      </c>
      <c r="J20" s="100" t="s">
        <v>804</v>
      </c>
      <c r="K20" s="117">
        <v>0</v>
      </c>
      <c r="L20" s="99" t="s">
        <v>1165</v>
      </c>
      <c r="M20" s="114"/>
      <c r="N20" s="37"/>
      <c r="O20" s="37"/>
      <c r="P20" s="37"/>
      <c r="Q20" s="37"/>
      <c r="R20" s="37"/>
      <c r="S20" s="37"/>
      <c r="T20" s="37"/>
    </row>
    <row r="21" spans="1:20" ht="38.25" x14ac:dyDescent="0.2">
      <c r="A21" s="37">
        <v>8</v>
      </c>
      <c r="B21" s="52"/>
      <c r="C21" s="53" t="s">
        <v>10</v>
      </c>
      <c r="D21" s="52"/>
      <c r="E21" s="99"/>
      <c r="F21" s="99"/>
      <c r="G21" s="101">
        <v>296153</v>
      </c>
      <c r="H21" s="46" t="s">
        <v>1325</v>
      </c>
      <c r="I21" s="99"/>
      <c r="J21" s="100"/>
      <c r="K21" s="99"/>
      <c r="L21" s="99"/>
      <c r="M21" s="98">
        <f>+M22</f>
        <v>20000000</v>
      </c>
      <c r="N21" s="37"/>
      <c r="O21" s="37"/>
      <c r="P21" s="37"/>
      <c r="Q21" s="37"/>
      <c r="R21" s="37"/>
      <c r="S21" s="37"/>
      <c r="T21" s="37"/>
    </row>
    <row r="22" spans="1:20" x14ac:dyDescent="0.2">
      <c r="A22" s="37">
        <v>9</v>
      </c>
      <c r="B22" s="52"/>
      <c r="C22" s="53"/>
      <c r="D22" s="52"/>
      <c r="E22" s="99"/>
      <c r="F22" s="99"/>
      <c r="G22" s="101"/>
      <c r="H22" s="46" t="s">
        <v>835</v>
      </c>
      <c r="I22" s="99"/>
      <c r="J22" s="100"/>
      <c r="K22" s="99"/>
      <c r="L22" s="99"/>
      <c r="M22" s="98">
        <v>20000000</v>
      </c>
      <c r="N22" s="37"/>
      <c r="O22" s="37"/>
      <c r="P22" s="37"/>
      <c r="Q22" s="37"/>
      <c r="R22" s="37"/>
      <c r="S22" s="37"/>
      <c r="T22" s="37"/>
    </row>
    <row r="23" spans="1:20" x14ac:dyDescent="0.2">
      <c r="A23" s="37"/>
      <c r="B23" s="52"/>
      <c r="C23" s="53"/>
      <c r="D23" s="52"/>
      <c r="E23" s="99"/>
      <c r="F23" s="99"/>
      <c r="G23" s="101"/>
      <c r="H23" s="46"/>
      <c r="I23" s="99"/>
      <c r="J23" s="100"/>
      <c r="K23" s="99"/>
      <c r="L23" s="99"/>
      <c r="M23" s="98"/>
      <c r="N23" s="37"/>
      <c r="O23" s="37"/>
      <c r="P23" s="37"/>
      <c r="Q23" s="37"/>
      <c r="R23" s="37"/>
      <c r="S23" s="37"/>
      <c r="T23" s="37"/>
    </row>
    <row r="24" spans="1:20" x14ac:dyDescent="0.2">
      <c r="A24" s="37">
        <v>4</v>
      </c>
      <c r="B24" s="52" t="s">
        <v>955</v>
      </c>
      <c r="C24" s="53"/>
      <c r="D24" s="52"/>
      <c r="E24" s="99"/>
      <c r="F24" s="99"/>
      <c r="G24" s="101"/>
      <c r="H24" s="116" t="s">
        <v>405</v>
      </c>
      <c r="I24" s="99"/>
      <c r="J24" s="100"/>
      <c r="K24" s="99"/>
      <c r="L24" s="99"/>
      <c r="M24" s="115">
        <f>+M26</f>
        <v>32000000</v>
      </c>
      <c r="N24" s="37"/>
      <c r="O24" s="37"/>
      <c r="P24" s="37"/>
      <c r="Q24" s="37"/>
      <c r="R24" s="37"/>
      <c r="S24" s="37"/>
      <c r="T24" s="37"/>
    </row>
    <row r="25" spans="1:20" ht="25.5" x14ac:dyDescent="0.2">
      <c r="A25" s="37">
        <v>5</v>
      </c>
      <c r="B25" s="52"/>
      <c r="C25" s="53"/>
      <c r="D25" s="52"/>
      <c r="E25" s="117">
        <v>72</v>
      </c>
      <c r="F25" s="99" t="s">
        <v>268</v>
      </c>
      <c r="G25" s="101"/>
      <c r="H25" s="46" t="s">
        <v>1051</v>
      </c>
      <c r="I25" s="117">
        <v>5</v>
      </c>
      <c r="J25" s="100" t="s">
        <v>50</v>
      </c>
      <c r="K25" s="117"/>
      <c r="L25" s="99"/>
      <c r="M25" s="114"/>
      <c r="N25" s="37"/>
      <c r="O25" s="37"/>
      <c r="P25" s="37"/>
      <c r="Q25" s="37"/>
      <c r="R25" s="37"/>
      <c r="S25" s="37"/>
      <c r="T25" s="37"/>
    </row>
    <row r="26" spans="1:20" x14ac:dyDescent="0.2">
      <c r="A26" s="37">
        <v>6</v>
      </c>
      <c r="B26" s="52" t="s">
        <v>285</v>
      </c>
      <c r="C26" s="53"/>
      <c r="D26" s="52"/>
      <c r="E26" s="99"/>
      <c r="F26" s="99"/>
      <c r="G26" s="101"/>
      <c r="H26" s="116" t="s">
        <v>439</v>
      </c>
      <c r="I26" s="99"/>
      <c r="J26" s="100"/>
      <c r="K26" s="99"/>
      <c r="L26" s="99"/>
      <c r="M26" s="115">
        <f>+M28</f>
        <v>32000000</v>
      </c>
      <c r="N26" s="37"/>
      <c r="O26" s="37"/>
      <c r="P26" s="37"/>
      <c r="Q26" s="37"/>
      <c r="R26" s="37"/>
      <c r="S26" s="37"/>
      <c r="T26" s="37"/>
    </row>
    <row r="27" spans="1:20" ht="25.5" x14ac:dyDescent="0.2">
      <c r="A27" s="37">
        <v>7</v>
      </c>
      <c r="B27" s="52"/>
      <c r="C27" s="53"/>
      <c r="D27" s="52" t="s">
        <v>538</v>
      </c>
      <c r="E27" s="117">
        <v>113</v>
      </c>
      <c r="F27" s="99" t="s">
        <v>1080</v>
      </c>
      <c r="G27" s="101"/>
      <c r="H27" s="46" t="s">
        <v>1329</v>
      </c>
      <c r="I27" s="117">
        <v>100</v>
      </c>
      <c r="J27" s="100" t="s">
        <v>804</v>
      </c>
      <c r="K27" s="117">
        <v>0</v>
      </c>
      <c r="L27" s="99" t="s">
        <v>1165</v>
      </c>
      <c r="M27" s="114"/>
      <c r="N27" s="37"/>
      <c r="O27" s="37"/>
      <c r="P27" s="37"/>
      <c r="Q27" s="37"/>
      <c r="R27" s="37"/>
      <c r="S27" s="37"/>
      <c r="T27" s="37"/>
    </row>
    <row r="28" spans="1:20" ht="51" x14ac:dyDescent="0.2">
      <c r="A28" s="37">
        <v>8</v>
      </c>
      <c r="B28" s="52"/>
      <c r="C28" s="53" t="s">
        <v>1271</v>
      </c>
      <c r="D28" s="52"/>
      <c r="E28" s="99"/>
      <c r="F28" s="99"/>
      <c r="G28" s="101">
        <v>296003</v>
      </c>
      <c r="H28" s="46" t="s">
        <v>1272</v>
      </c>
      <c r="I28" s="99"/>
      <c r="J28" s="100"/>
      <c r="K28" s="99"/>
      <c r="L28" s="99"/>
      <c r="M28" s="98">
        <f>+M29</f>
        <v>32000000</v>
      </c>
      <c r="N28" s="37"/>
      <c r="O28" s="37"/>
      <c r="P28" s="37"/>
      <c r="Q28" s="37"/>
      <c r="R28" s="37"/>
      <c r="S28" s="37"/>
      <c r="T28" s="37"/>
    </row>
    <row r="29" spans="1:20" x14ac:dyDescent="0.2">
      <c r="A29" s="37">
        <v>9</v>
      </c>
      <c r="B29" s="52"/>
      <c r="C29" s="53"/>
      <c r="D29" s="52"/>
      <c r="E29" s="99"/>
      <c r="F29" s="99"/>
      <c r="G29" s="101"/>
      <c r="H29" s="46" t="s">
        <v>835</v>
      </c>
      <c r="I29" s="99"/>
      <c r="J29" s="100"/>
      <c r="K29" s="99"/>
      <c r="L29" s="99"/>
      <c r="M29" s="98">
        <v>32000000</v>
      </c>
      <c r="N29" s="37"/>
      <c r="O29" s="37"/>
      <c r="P29" s="37"/>
      <c r="Q29" s="37"/>
      <c r="R29" s="37"/>
      <c r="S29" s="37"/>
      <c r="T29" s="37"/>
    </row>
    <row r="30" spans="1:20" x14ac:dyDescent="0.2">
      <c r="A30" s="37"/>
      <c r="B30" s="52"/>
      <c r="C30" s="53"/>
      <c r="D30" s="52"/>
      <c r="E30" s="99"/>
      <c r="F30" s="99"/>
      <c r="G30" s="101"/>
      <c r="H30" s="46"/>
      <c r="I30" s="99"/>
      <c r="J30" s="100"/>
      <c r="K30" s="99"/>
      <c r="L30" s="99"/>
      <c r="M30" s="98"/>
      <c r="N30" s="37"/>
      <c r="O30" s="37"/>
      <c r="P30" s="37"/>
      <c r="Q30" s="37"/>
      <c r="R30" s="37"/>
      <c r="S30" s="37"/>
      <c r="T30" s="37"/>
    </row>
    <row r="31" spans="1:20" x14ac:dyDescent="0.2">
      <c r="A31" s="37">
        <v>4</v>
      </c>
      <c r="B31" s="52" t="s">
        <v>285</v>
      </c>
      <c r="C31" s="53"/>
      <c r="D31" s="52"/>
      <c r="E31" s="99"/>
      <c r="F31" s="99"/>
      <c r="G31" s="101"/>
      <c r="H31" s="116" t="s">
        <v>548</v>
      </c>
      <c r="I31" s="99"/>
      <c r="J31" s="100"/>
      <c r="K31" s="99"/>
      <c r="L31" s="99"/>
      <c r="M31" s="115">
        <f>+M33</f>
        <v>20000000</v>
      </c>
      <c r="N31" s="37"/>
      <c r="O31" s="37"/>
      <c r="P31" s="37"/>
      <c r="Q31" s="37"/>
      <c r="R31" s="37"/>
      <c r="S31" s="37"/>
      <c r="T31" s="37"/>
    </row>
    <row r="32" spans="1:20" x14ac:dyDescent="0.2">
      <c r="A32" s="37">
        <v>5</v>
      </c>
      <c r="B32" s="52"/>
      <c r="C32" s="53"/>
      <c r="D32" s="52"/>
      <c r="E32" s="117">
        <v>115</v>
      </c>
      <c r="F32" s="99" t="s">
        <v>268</v>
      </c>
      <c r="G32" s="101"/>
      <c r="H32" s="46" t="s">
        <v>171</v>
      </c>
      <c r="I32" s="117">
        <v>57</v>
      </c>
      <c r="J32" s="100" t="s">
        <v>50</v>
      </c>
      <c r="K32" s="117"/>
      <c r="L32" s="99"/>
      <c r="M32" s="114"/>
      <c r="N32" s="37"/>
      <c r="O32" s="37"/>
      <c r="P32" s="37"/>
      <c r="Q32" s="37"/>
      <c r="R32" s="37"/>
      <c r="S32" s="37"/>
      <c r="T32" s="37"/>
    </row>
    <row r="33" spans="1:20" x14ac:dyDescent="0.2">
      <c r="A33" s="37">
        <v>6</v>
      </c>
      <c r="B33" s="52" t="s">
        <v>285</v>
      </c>
      <c r="C33" s="53"/>
      <c r="D33" s="52"/>
      <c r="E33" s="99"/>
      <c r="F33" s="99"/>
      <c r="G33" s="101"/>
      <c r="H33" s="116" t="s">
        <v>439</v>
      </c>
      <c r="I33" s="99"/>
      <c r="J33" s="100"/>
      <c r="K33" s="99"/>
      <c r="L33" s="99"/>
      <c r="M33" s="115">
        <f>+M35</f>
        <v>20000000</v>
      </c>
      <c r="N33" s="37"/>
      <c r="O33" s="37"/>
      <c r="P33" s="37"/>
      <c r="Q33" s="37"/>
      <c r="R33" s="37"/>
      <c r="S33" s="37"/>
      <c r="T33" s="37"/>
    </row>
    <row r="34" spans="1:20" ht="25.5" x14ac:dyDescent="0.2">
      <c r="A34" s="37">
        <v>7</v>
      </c>
      <c r="B34" s="52"/>
      <c r="C34" s="53"/>
      <c r="D34" s="52" t="s">
        <v>538</v>
      </c>
      <c r="E34" s="117">
        <v>156</v>
      </c>
      <c r="F34" s="99" t="s">
        <v>1080</v>
      </c>
      <c r="G34" s="101"/>
      <c r="H34" s="46" t="s">
        <v>582</v>
      </c>
      <c r="I34" s="117">
        <v>100</v>
      </c>
      <c r="J34" s="100" t="s">
        <v>804</v>
      </c>
      <c r="K34" s="117">
        <v>0</v>
      </c>
      <c r="L34" s="99" t="s">
        <v>1165</v>
      </c>
      <c r="M34" s="114"/>
      <c r="N34" s="37"/>
      <c r="O34" s="37"/>
      <c r="P34" s="37"/>
      <c r="Q34" s="37"/>
      <c r="R34" s="37"/>
      <c r="S34" s="37"/>
      <c r="T34" s="37"/>
    </row>
    <row r="35" spans="1:20" ht="38.25" x14ac:dyDescent="0.2">
      <c r="A35" s="37">
        <v>8</v>
      </c>
      <c r="B35" s="52"/>
      <c r="C35" s="53" t="s">
        <v>10</v>
      </c>
      <c r="D35" s="52"/>
      <c r="E35" s="99"/>
      <c r="F35" s="99"/>
      <c r="G35" s="101">
        <v>296153</v>
      </c>
      <c r="H35" s="46" t="s">
        <v>1325</v>
      </c>
      <c r="I35" s="99"/>
      <c r="J35" s="100"/>
      <c r="K35" s="99"/>
      <c r="L35" s="99"/>
      <c r="M35" s="98">
        <f>+M36</f>
        <v>20000000</v>
      </c>
      <c r="N35" s="37"/>
      <c r="O35" s="37"/>
      <c r="P35" s="37"/>
      <c r="Q35" s="37"/>
      <c r="R35" s="37"/>
      <c r="S35" s="37"/>
      <c r="T35" s="37"/>
    </row>
    <row r="36" spans="1:20" x14ac:dyDescent="0.2">
      <c r="A36" s="37">
        <v>9</v>
      </c>
      <c r="B36" s="52"/>
      <c r="C36" s="53"/>
      <c r="D36" s="52"/>
      <c r="E36" s="99"/>
      <c r="F36" s="99"/>
      <c r="G36" s="101"/>
      <c r="H36" s="46" t="s">
        <v>835</v>
      </c>
      <c r="I36" s="99"/>
      <c r="J36" s="100"/>
      <c r="K36" s="99"/>
      <c r="L36" s="99"/>
      <c r="M36" s="98">
        <v>20000000</v>
      </c>
      <c r="N36" s="37"/>
      <c r="O36" s="37"/>
      <c r="P36" s="37"/>
      <c r="Q36" s="37"/>
      <c r="R36" s="37"/>
      <c r="S36" s="37"/>
      <c r="T36" s="37"/>
    </row>
    <row r="37" spans="1:20" x14ac:dyDescent="0.2">
      <c r="A37" s="37"/>
      <c r="B37" s="52"/>
      <c r="C37" s="53"/>
      <c r="D37" s="52"/>
      <c r="E37" s="99"/>
      <c r="F37" s="99"/>
      <c r="G37" s="101"/>
      <c r="H37" s="46"/>
      <c r="I37" s="99"/>
      <c r="J37" s="100"/>
      <c r="K37" s="99"/>
      <c r="L37" s="99"/>
      <c r="M37" s="98"/>
      <c r="N37" s="37"/>
      <c r="O37" s="37"/>
      <c r="P37" s="37"/>
      <c r="Q37" s="37"/>
      <c r="R37" s="37"/>
      <c r="S37" s="37"/>
      <c r="T37" s="37"/>
    </row>
    <row r="38" spans="1:20" ht="25.5" x14ac:dyDescent="0.2">
      <c r="A38" s="37">
        <v>4</v>
      </c>
      <c r="B38" s="52" t="s">
        <v>1069</v>
      </c>
      <c r="C38" s="53"/>
      <c r="D38" s="52"/>
      <c r="E38" s="99"/>
      <c r="F38" s="99"/>
      <c r="G38" s="101"/>
      <c r="H38" s="116" t="s">
        <v>101</v>
      </c>
      <c r="I38" s="99"/>
      <c r="J38" s="100"/>
      <c r="K38" s="99"/>
      <c r="L38" s="99"/>
      <c r="M38" s="115">
        <f>+M40+M52+M56</f>
        <v>2517000000</v>
      </c>
      <c r="N38" s="37"/>
      <c r="O38" s="37"/>
      <c r="P38" s="37"/>
      <c r="Q38" s="37"/>
      <c r="R38" s="37"/>
      <c r="S38" s="37"/>
      <c r="T38" s="37"/>
    </row>
    <row r="39" spans="1:20" ht="25.5" x14ac:dyDescent="0.2">
      <c r="A39" s="37">
        <v>5</v>
      </c>
      <c r="B39" s="52"/>
      <c r="C39" s="53"/>
      <c r="D39" s="52"/>
      <c r="E39" s="117">
        <v>269</v>
      </c>
      <c r="F39" s="99" t="s">
        <v>268</v>
      </c>
      <c r="G39" s="101"/>
      <c r="H39" s="46" t="s">
        <v>360</v>
      </c>
      <c r="I39" s="117">
        <v>116</v>
      </c>
      <c r="J39" s="100" t="s">
        <v>286</v>
      </c>
      <c r="K39" s="117"/>
      <c r="L39" s="99"/>
      <c r="M39" s="114"/>
      <c r="N39" s="37"/>
      <c r="O39" s="37"/>
      <c r="P39" s="37"/>
      <c r="Q39" s="37"/>
      <c r="R39" s="37"/>
      <c r="S39" s="37"/>
      <c r="T39" s="37"/>
    </row>
    <row r="40" spans="1:20" x14ac:dyDescent="0.2">
      <c r="A40" s="37">
        <v>6</v>
      </c>
      <c r="B40" s="52" t="s">
        <v>857</v>
      </c>
      <c r="C40" s="53"/>
      <c r="D40" s="52"/>
      <c r="E40" s="99"/>
      <c r="F40" s="99"/>
      <c r="G40" s="101"/>
      <c r="H40" s="116" t="s">
        <v>677</v>
      </c>
      <c r="I40" s="99"/>
      <c r="J40" s="100"/>
      <c r="K40" s="99"/>
      <c r="L40" s="99"/>
      <c r="M40" s="115">
        <f>+M48+M50</f>
        <v>2012000000</v>
      </c>
      <c r="N40" s="37"/>
      <c r="O40" s="37"/>
      <c r="P40" s="37"/>
      <c r="Q40" s="37"/>
      <c r="R40" s="37"/>
      <c r="S40" s="37"/>
      <c r="T40" s="37"/>
    </row>
    <row r="41" spans="1:20" ht="25.5" x14ac:dyDescent="0.2">
      <c r="A41" s="37"/>
      <c r="B41" s="52"/>
      <c r="C41" s="53"/>
      <c r="D41" s="52" t="s">
        <v>538</v>
      </c>
      <c r="E41" s="117">
        <v>270</v>
      </c>
      <c r="F41" s="99" t="s">
        <v>1080</v>
      </c>
      <c r="G41" s="101"/>
      <c r="H41" s="46" t="s">
        <v>108</v>
      </c>
      <c r="I41" s="117">
        <v>98</v>
      </c>
      <c r="J41" s="100" t="s">
        <v>539</v>
      </c>
      <c r="K41" s="117">
        <v>18</v>
      </c>
      <c r="L41" s="99" t="s">
        <v>1209</v>
      </c>
      <c r="M41" s="115"/>
      <c r="N41" s="37"/>
      <c r="O41" s="37"/>
      <c r="P41" s="37"/>
      <c r="Q41" s="37"/>
      <c r="R41" s="37"/>
      <c r="S41" s="37"/>
      <c r="T41" s="37"/>
    </row>
    <row r="42" spans="1:20" x14ac:dyDescent="0.2">
      <c r="A42" s="37"/>
      <c r="B42" s="52"/>
      <c r="C42" s="53"/>
      <c r="D42" s="52" t="s">
        <v>538</v>
      </c>
      <c r="E42" s="117">
        <v>271</v>
      </c>
      <c r="F42" s="99" t="s">
        <v>1080</v>
      </c>
      <c r="G42" s="101"/>
      <c r="H42" s="46" t="s">
        <v>509</v>
      </c>
      <c r="I42" s="117">
        <v>97</v>
      </c>
      <c r="J42" s="100" t="s">
        <v>286</v>
      </c>
      <c r="K42" s="117">
        <v>18</v>
      </c>
      <c r="L42" s="99" t="s">
        <v>1209</v>
      </c>
      <c r="M42" s="115"/>
      <c r="N42" s="37"/>
      <c r="O42" s="37"/>
      <c r="P42" s="37"/>
      <c r="Q42" s="37"/>
      <c r="R42" s="37"/>
      <c r="S42" s="37"/>
      <c r="T42" s="37"/>
    </row>
    <row r="43" spans="1:20" ht="38.25" x14ac:dyDescent="0.2">
      <c r="A43" s="37"/>
      <c r="B43" s="52"/>
      <c r="C43" s="53"/>
      <c r="D43" s="52" t="s">
        <v>335</v>
      </c>
      <c r="E43" s="117">
        <v>272</v>
      </c>
      <c r="F43" s="99" t="s">
        <v>1080</v>
      </c>
      <c r="G43" s="101"/>
      <c r="H43" s="46" t="s">
        <v>554</v>
      </c>
      <c r="I43" s="117">
        <v>100</v>
      </c>
      <c r="J43" s="100" t="s">
        <v>804</v>
      </c>
      <c r="K43" s="117">
        <v>100</v>
      </c>
      <c r="L43" s="99" t="s">
        <v>1165</v>
      </c>
      <c r="M43" s="115"/>
      <c r="N43" s="37"/>
      <c r="O43" s="37"/>
      <c r="P43" s="37"/>
      <c r="Q43" s="37"/>
      <c r="R43" s="37"/>
      <c r="S43" s="37"/>
      <c r="T43" s="37"/>
    </row>
    <row r="44" spans="1:20" ht="25.5" x14ac:dyDescent="0.2">
      <c r="A44" s="37">
        <v>7</v>
      </c>
      <c r="B44" s="52"/>
      <c r="C44" s="53"/>
      <c r="D44" s="52" t="s">
        <v>538</v>
      </c>
      <c r="E44" s="117">
        <v>273</v>
      </c>
      <c r="F44" s="99" t="s">
        <v>1080</v>
      </c>
      <c r="G44" s="101"/>
      <c r="H44" s="46" t="s">
        <v>768</v>
      </c>
      <c r="I44" s="117">
        <v>116</v>
      </c>
      <c r="J44" s="100" t="s">
        <v>258</v>
      </c>
      <c r="K44" s="117">
        <v>116</v>
      </c>
      <c r="L44" s="99" t="s">
        <v>1330</v>
      </c>
      <c r="M44" s="114"/>
      <c r="N44" s="37"/>
      <c r="O44" s="37"/>
      <c r="P44" s="37"/>
      <c r="Q44" s="37"/>
      <c r="R44" s="37"/>
      <c r="S44" s="37"/>
      <c r="T44" s="37"/>
    </row>
    <row r="45" spans="1:20" x14ac:dyDescent="0.2">
      <c r="A45" s="37">
        <v>7</v>
      </c>
      <c r="B45" s="52"/>
      <c r="C45" s="53"/>
      <c r="D45" s="32"/>
      <c r="E45" s="102"/>
      <c r="F45" s="102"/>
      <c r="G45" s="102"/>
      <c r="H45" s="102"/>
      <c r="I45" s="102"/>
      <c r="J45" s="102"/>
      <c r="K45" s="102"/>
      <c r="L45" s="102"/>
      <c r="M45" s="114"/>
      <c r="N45" s="37"/>
      <c r="O45" s="37"/>
      <c r="P45" s="37"/>
      <c r="Q45" s="37"/>
      <c r="R45" s="37"/>
      <c r="S45" s="37"/>
      <c r="T45" s="37"/>
    </row>
    <row r="46" spans="1:20" ht="25.5" x14ac:dyDescent="0.2">
      <c r="A46" s="37">
        <v>7</v>
      </c>
      <c r="B46" s="52"/>
      <c r="C46" s="53"/>
      <c r="D46" s="52" t="s">
        <v>124</v>
      </c>
      <c r="E46" s="117">
        <v>274</v>
      </c>
      <c r="F46" s="99" t="s">
        <v>1080</v>
      </c>
      <c r="G46" s="101"/>
      <c r="H46" s="46" t="s">
        <v>515</v>
      </c>
      <c r="I46" s="117">
        <v>100</v>
      </c>
      <c r="J46" s="100" t="s">
        <v>922</v>
      </c>
      <c r="K46" s="117">
        <v>0</v>
      </c>
      <c r="L46" s="99" t="s">
        <v>1165</v>
      </c>
      <c r="M46" s="114"/>
      <c r="N46" s="37"/>
      <c r="O46" s="37"/>
      <c r="P46" s="37"/>
      <c r="Q46" s="37"/>
      <c r="R46" s="37"/>
      <c r="S46" s="37"/>
      <c r="T46" s="37"/>
    </row>
    <row r="47" spans="1:20" ht="38.25" x14ac:dyDescent="0.2">
      <c r="A47" s="37">
        <v>7</v>
      </c>
      <c r="B47" s="52"/>
      <c r="C47" s="53"/>
      <c r="D47" s="52" t="s">
        <v>91</v>
      </c>
      <c r="E47" s="117">
        <v>275</v>
      </c>
      <c r="F47" s="99" t="s">
        <v>1080</v>
      </c>
      <c r="G47" s="101"/>
      <c r="H47" s="46" t="s">
        <v>473</v>
      </c>
      <c r="I47" s="117">
        <v>100</v>
      </c>
      <c r="J47" s="100" t="s">
        <v>767</v>
      </c>
      <c r="K47" s="117">
        <v>100</v>
      </c>
      <c r="L47" s="99" t="s">
        <v>1165</v>
      </c>
      <c r="M47" s="114"/>
      <c r="N47" s="37"/>
      <c r="O47" s="37"/>
      <c r="P47" s="37"/>
      <c r="Q47" s="37"/>
      <c r="R47" s="37"/>
      <c r="S47" s="37"/>
      <c r="T47" s="37"/>
    </row>
    <row r="48" spans="1:20" ht="51" x14ac:dyDescent="0.2">
      <c r="A48" s="37">
        <v>8</v>
      </c>
      <c r="B48" s="52"/>
      <c r="C48" s="53" t="s">
        <v>1271</v>
      </c>
      <c r="D48" s="52"/>
      <c r="E48" s="99"/>
      <c r="F48" s="99"/>
      <c r="G48" s="101">
        <v>296003</v>
      </c>
      <c r="H48" s="46" t="s">
        <v>1272</v>
      </c>
      <c r="I48" s="99"/>
      <c r="J48" s="100"/>
      <c r="K48" s="99"/>
      <c r="L48" s="99"/>
      <c r="M48" s="98">
        <f>+M49</f>
        <v>104000000</v>
      </c>
      <c r="N48" s="37"/>
      <c r="O48" s="37"/>
      <c r="P48" s="37"/>
      <c r="Q48" s="37"/>
      <c r="R48" s="37"/>
      <c r="S48" s="37"/>
      <c r="T48" s="37"/>
    </row>
    <row r="49" spans="1:20" x14ac:dyDescent="0.2">
      <c r="A49" s="37">
        <v>9</v>
      </c>
      <c r="B49" s="52"/>
      <c r="C49" s="53"/>
      <c r="D49" s="52"/>
      <c r="E49" s="99"/>
      <c r="F49" s="99"/>
      <c r="G49" s="101"/>
      <c r="H49" s="46" t="s">
        <v>835</v>
      </c>
      <c r="I49" s="99"/>
      <c r="J49" s="100"/>
      <c r="K49" s="99"/>
      <c r="L49" s="99"/>
      <c r="M49" s="98">
        <v>104000000</v>
      </c>
      <c r="N49" s="37"/>
      <c r="O49" s="37"/>
      <c r="P49" s="37"/>
      <c r="Q49" s="37"/>
      <c r="R49" s="37"/>
      <c r="S49" s="37"/>
      <c r="T49" s="37"/>
    </row>
    <row r="50" spans="1:20" ht="25.5" x14ac:dyDescent="0.2">
      <c r="A50" s="37"/>
      <c r="B50" s="52"/>
      <c r="C50" s="53" t="s">
        <v>10</v>
      </c>
      <c r="D50" s="52"/>
      <c r="E50" s="99"/>
      <c r="F50" s="99"/>
      <c r="G50" s="101">
        <v>296003</v>
      </c>
      <c r="H50" s="46" t="s">
        <v>183</v>
      </c>
      <c r="I50" s="99"/>
      <c r="J50" s="100"/>
      <c r="K50" s="99"/>
      <c r="L50" s="99"/>
      <c r="M50" s="98">
        <f>+M51</f>
        <v>1908000000</v>
      </c>
      <c r="N50" s="37"/>
      <c r="O50" s="37"/>
      <c r="P50" s="37"/>
      <c r="Q50" s="37"/>
      <c r="R50" s="37"/>
      <c r="S50" s="37"/>
      <c r="T50" s="37"/>
    </row>
    <row r="51" spans="1:20" x14ac:dyDescent="0.2">
      <c r="A51" s="37"/>
      <c r="B51" s="52"/>
      <c r="C51" s="53"/>
      <c r="D51" s="52"/>
      <c r="E51" s="99"/>
      <c r="F51" s="99"/>
      <c r="G51" s="101"/>
      <c r="H51" s="46" t="s">
        <v>835</v>
      </c>
      <c r="I51" s="99"/>
      <c r="J51" s="100"/>
      <c r="K51" s="99"/>
      <c r="L51" s="99"/>
      <c r="M51" s="98">
        <f>280000000+125000000+1660000000+93000000+400000000+10000000-660000000</f>
        <v>1908000000</v>
      </c>
      <c r="N51" s="37"/>
      <c r="O51" s="37"/>
      <c r="P51" s="37"/>
      <c r="Q51" s="37"/>
      <c r="R51" s="37"/>
      <c r="S51" s="37"/>
      <c r="T51" s="37"/>
    </row>
    <row r="52" spans="1:20" x14ac:dyDescent="0.2">
      <c r="A52" s="37">
        <v>6</v>
      </c>
      <c r="B52" s="52" t="s">
        <v>497</v>
      </c>
      <c r="C52" s="53"/>
      <c r="D52" s="52"/>
      <c r="E52" s="99"/>
      <c r="F52" s="99"/>
      <c r="G52" s="101"/>
      <c r="H52" s="116" t="s">
        <v>889</v>
      </c>
      <c r="I52" s="99"/>
      <c r="J52" s="100"/>
      <c r="K52" s="99"/>
      <c r="L52" s="99"/>
      <c r="M52" s="115">
        <f>+M54</f>
        <v>300000000</v>
      </c>
      <c r="N52" s="37"/>
      <c r="O52" s="37"/>
      <c r="P52" s="37"/>
      <c r="Q52" s="37"/>
      <c r="R52" s="37"/>
      <c r="S52" s="37"/>
      <c r="T52" s="37"/>
    </row>
    <row r="53" spans="1:20" ht="25.5" x14ac:dyDescent="0.2">
      <c r="A53" s="37">
        <v>7</v>
      </c>
      <c r="B53" s="52"/>
      <c r="C53" s="53"/>
      <c r="D53" s="52" t="s">
        <v>972</v>
      </c>
      <c r="E53" s="117">
        <v>277</v>
      </c>
      <c r="F53" s="99" t="s">
        <v>1080</v>
      </c>
      <c r="G53" s="101"/>
      <c r="H53" s="46" t="s">
        <v>514</v>
      </c>
      <c r="I53" s="117">
        <v>100</v>
      </c>
      <c r="J53" s="100" t="s">
        <v>804</v>
      </c>
      <c r="K53" s="117">
        <v>100</v>
      </c>
      <c r="L53" s="99" t="s">
        <v>1165</v>
      </c>
      <c r="M53" s="114"/>
      <c r="N53" s="37"/>
      <c r="O53" s="37"/>
      <c r="P53" s="37"/>
      <c r="Q53" s="37"/>
      <c r="R53" s="37"/>
      <c r="S53" s="37"/>
      <c r="T53" s="37"/>
    </row>
    <row r="54" spans="1:20" ht="25.5" x14ac:dyDescent="0.2">
      <c r="A54" s="37">
        <v>8</v>
      </c>
      <c r="B54" s="52"/>
      <c r="C54" s="53" t="s">
        <v>10</v>
      </c>
      <c r="D54" s="52"/>
      <c r="E54" s="99"/>
      <c r="F54" s="99"/>
      <c r="G54" s="101">
        <v>296003</v>
      </c>
      <c r="H54" s="46" t="s">
        <v>183</v>
      </c>
      <c r="I54" s="99"/>
      <c r="J54" s="100"/>
      <c r="K54" s="99"/>
      <c r="L54" s="99"/>
      <c r="M54" s="98">
        <f>+M55</f>
        <v>300000000</v>
      </c>
      <c r="N54" s="37"/>
      <c r="O54" s="37"/>
      <c r="P54" s="37"/>
      <c r="Q54" s="37"/>
      <c r="R54" s="37"/>
      <c r="S54" s="37"/>
      <c r="T54" s="37"/>
    </row>
    <row r="55" spans="1:20" x14ac:dyDescent="0.2">
      <c r="A55" s="37">
        <v>9</v>
      </c>
      <c r="B55" s="52"/>
      <c r="C55" s="53"/>
      <c r="D55" s="52"/>
      <c r="E55" s="99"/>
      <c r="F55" s="99"/>
      <c r="G55" s="101"/>
      <c r="H55" s="46" t="s">
        <v>835</v>
      </c>
      <c r="I55" s="99"/>
      <c r="J55" s="100"/>
      <c r="K55" s="99"/>
      <c r="L55" s="99"/>
      <c r="M55" s="98">
        <v>300000000</v>
      </c>
      <c r="N55" s="37"/>
      <c r="O55" s="37"/>
      <c r="P55" s="37"/>
      <c r="Q55" s="37"/>
      <c r="R55" s="37"/>
      <c r="S55" s="37"/>
      <c r="T55" s="37"/>
    </row>
    <row r="56" spans="1:20" x14ac:dyDescent="0.2">
      <c r="A56" s="37">
        <v>6</v>
      </c>
      <c r="B56" s="52" t="s">
        <v>955</v>
      </c>
      <c r="C56" s="53"/>
      <c r="D56" s="52"/>
      <c r="E56" s="99"/>
      <c r="F56" s="99"/>
      <c r="G56" s="101"/>
      <c r="H56" s="116" t="s">
        <v>667</v>
      </c>
      <c r="I56" s="99"/>
      <c r="J56" s="100"/>
      <c r="K56" s="99"/>
      <c r="L56" s="99"/>
      <c r="M56" s="115">
        <f>+M61</f>
        <v>205000000</v>
      </c>
      <c r="N56" s="37"/>
      <c r="O56" s="37"/>
      <c r="P56" s="37"/>
      <c r="Q56" s="37"/>
      <c r="R56" s="37"/>
      <c r="S56" s="37"/>
      <c r="T56" s="37"/>
    </row>
    <row r="57" spans="1:20" ht="38.25" x14ac:dyDescent="0.2">
      <c r="A57" s="37"/>
      <c r="B57" s="52"/>
      <c r="C57" s="53"/>
      <c r="D57" s="52" t="s">
        <v>538</v>
      </c>
      <c r="E57" s="117">
        <v>320</v>
      </c>
      <c r="F57" s="99" t="s">
        <v>1080</v>
      </c>
      <c r="G57" s="101"/>
      <c r="H57" s="46" t="s">
        <v>911</v>
      </c>
      <c r="I57" s="117">
        <v>100</v>
      </c>
      <c r="J57" s="100" t="s">
        <v>741</v>
      </c>
      <c r="K57" s="117">
        <v>0</v>
      </c>
      <c r="L57" s="99" t="s">
        <v>1165</v>
      </c>
      <c r="M57" s="115"/>
      <c r="N57" s="37"/>
      <c r="O57" s="37"/>
      <c r="P57" s="37"/>
      <c r="Q57" s="37"/>
      <c r="R57" s="37"/>
      <c r="S57" s="37"/>
      <c r="T57" s="37"/>
    </row>
    <row r="58" spans="1:20" ht="38.25" x14ac:dyDescent="0.2">
      <c r="A58" s="37"/>
      <c r="B58" s="52"/>
      <c r="C58" s="53"/>
      <c r="D58" s="52" t="s">
        <v>538</v>
      </c>
      <c r="E58" s="117">
        <v>326</v>
      </c>
      <c r="F58" s="99" t="s">
        <v>1080</v>
      </c>
      <c r="G58" s="101"/>
      <c r="H58" s="119" t="s">
        <v>726</v>
      </c>
      <c r="I58" s="117">
        <v>1</v>
      </c>
      <c r="J58" s="100" t="s">
        <v>525</v>
      </c>
      <c r="K58" s="117">
        <v>1</v>
      </c>
      <c r="L58" s="99" t="s">
        <v>301</v>
      </c>
      <c r="M58" s="115"/>
      <c r="N58" s="37"/>
      <c r="O58" s="37"/>
      <c r="P58" s="37"/>
      <c r="Q58" s="37"/>
      <c r="R58" s="37"/>
      <c r="S58" s="37"/>
      <c r="T58" s="37"/>
    </row>
    <row r="59" spans="1:20" ht="38.25" x14ac:dyDescent="0.2">
      <c r="A59" s="37">
        <v>7</v>
      </c>
      <c r="B59" s="52"/>
      <c r="C59" s="53"/>
      <c r="D59" s="52" t="s">
        <v>972</v>
      </c>
      <c r="E59" s="117">
        <v>279</v>
      </c>
      <c r="F59" s="99" t="s">
        <v>1080</v>
      </c>
      <c r="G59" s="101"/>
      <c r="H59" s="46" t="s">
        <v>888</v>
      </c>
      <c r="I59" s="117">
        <v>5</v>
      </c>
      <c r="J59" s="100" t="s">
        <v>195</v>
      </c>
      <c r="K59" s="117">
        <v>1</v>
      </c>
      <c r="L59" s="99" t="s">
        <v>1025</v>
      </c>
      <c r="M59" s="114"/>
      <c r="N59" s="37"/>
      <c r="O59" s="37"/>
      <c r="P59" s="37"/>
      <c r="Q59" s="37"/>
      <c r="R59" s="37"/>
      <c r="S59" s="37"/>
      <c r="T59" s="37"/>
    </row>
    <row r="60" spans="1:20" x14ac:dyDescent="0.2">
      <c r="A60" s="37"/>
      <c r="B60" s="52"/>
      <c r="C60" s="53"/>
      <c r="D60" s="32"/>
      <c r="E60" s="102"/>
      <c r="F60" s="102"/>
      <c r="G60" s="102"/>
      <c r="H60" s="102"/>
      <c r="I60" s="102"/>
      <c r="J60" s="102"/>
      <c r="K60" s="102"/>
      <c r="L60" s="102"/>
      <c r="M60" s="114"/>
      <c r="N60" s="37"/>
      <c r="O60" s="37"/>
      <c r="P60" s="37"/>
      <c r="Q60" s="37"/>
      <c r="R60" s="37"/>
      <c r="S60" s="37"/>
      <c r="T60" s="37"/>
    </row>
    <row r="61" spans="1:20" ht="25.5" x14ac:dyDescent="0.2">
      <c r="A61" s="37">
        <v>8</v>
      </c>
      <c r="B61" s="52"/>
      <c r="C61" s="53" t="s">
        <v>10</v>
      </c>
      <c r="D61" s="52"/>
      <c r="E61" s="99"/>
      <c r="F61" s="99"/>
      <c r="G61" s="101">
        <v>296003</v>
      </c>
      <c r="H61" s="46" t="s">
        <v>183</v>
      </c>
      <c r="I61" s="99"/>
      <c r="J61" s="100"/>
      <c r="K61" s="99"/>
      <c r="L61" s="99"/>
      <c r="M61" s="98">
        <f>+M62</f>
        <v>205000000</v>
      </c>
      <c r="N61" s="37"/>
      <c r="O61" s="37"/>
      <c r="P61" s="37"/>
      <c r="Q61" s="37"/>
      <c r="R61" s="37"/>
      <c r="S61" s="37"/>
      <c r="T61" s="37"/>
    </row>
    <row r="62" spans="1:20" x14ac:dyDescent="0.2">
      <c r="A62" s="37">
        <v>9</v>
      </c>
      <c r="B62" s="52"/>
      <c r="C62" s="53"/>
      <c r="D62" s="52"/>
      <c r="E62" s="99"/>
      <c r="F62" s="99"/>
      <c r="G62" s="101"/>
      <c r="H62" s="46" t="s">
        <v>835</v>
      </c>
      <c r="I62" s="99"/>
      <c r="J62" s="100"/>
      <c r="K62" s="99"/>
      <c r="L62" s="99"/>
      <c r="M62" s="98">
        <f>100000000+5000000+100000000</f>
        <v>205000000</v>
      </c>
      <c r="N62" s="37"/>
      <c r="O62" s="37"/>
      <c r="P62" s="37"/>
      <c r="Q62" s="37"/>
      <c r="R62" s="37"/>
      <c r="S62" s="37"/>
      <c r="T62" s="37"/>
    </row>
    <row r="63" spans="1:20" x14ac:dyDescent="0.2">
      <c r="A63" s="37"/>
      <c r="B63" s="52"/>
      <c r="C63" s="53"/>
      <c r="D63" s="52"/>
      <c r="E63" s="99"/>
      <c r="F63" s="99"/>
      <c r="G63" s="101"/>
      <c r="H63" s="46"/>
      <c r="I63" s="99"/>
      <c r="J63" s="100"/>
      <c r="K63" s="99"/>
      <c r="L63" s="99"/>
      <c r="M63" s="98"/>
      <c r="N63" s="37"/>
      <c r="O63" s="37"/>
      <c r="P63" s="37"/>
      <c r="Q63" s="37"/>
      <c r="R63" s="37"/>
      <c r="S63" s="37"/>
      <c r="T63" s="37"/>
    </row>
    <row r="64" spans="1:20" x14ac:dyDescent="0.2">
      <c r="A64" s="37">
        <v>4</v>
      </c>
      <c r="B64" s="52" t="s">
        <v>472</v>
      </c>
      <c r="C64" s="53"/>
      <c r="D64" s="52"/>
      <c r="E64" s="99"/>
      <c r="F64" s="99"/>
      <c r="G64" s="101"/>
      <c r="H64" s="116" t="s">
        <v>1012</v>
      </c>
      <c r="I64" s="99"/>
      <c r="J64" s="100"/>
      <c r="K64" s="99"/>
      <c r="L64" s="99"/>
      <c r="M64" s="115">
        <f>+M66</f>
        <v>200000000</v>
      </c>
      <c r="N64" s="37"/>
      <c r="O64" s="37"/>
      <c r="P64" s="37"/>
      <c r="Q64" s="37"/>
      <c r="R64" s="37"/>
      <c r="S64" s="37"/>
      <c r="T64" s="37"/>
    </row>
    <row r="65" spans="1:20" ht="44.25" customHeight="1" x14ac:dyDescent="0.2">
      <c r="A65" s="37">
        <v>5</v>
      </c>
      <c r="B65" s="52"/>
      <c r="C65" s="53"/>
      <c r="D65" s="52"/>
      <c r="E65" s="117">
        <v>199</v>
      </c>
      <c r="F65" s="99" t="s">
        <v>268</v>
      </c>
      <c r="G65" s="101"/>
      <c r="H65" s="46" t="s">
        <v>327</v>
      </c>
      <c r="I65" s="117">
        <v>25000</v>
      </c>
      <c r="J65" s="100" t="s">
        <v>524</v>
      </c>
      <c r="K65" s="117"/>
      <c r="L65" s="99"/>
      <c r="M65" s="114"/>
      <c r="N65" s="37"/>
      <c r="O65" s="37"/>
      <c r="P65" s="37"/>
      <c r="Q65" s="37"/>
      <c r="R65" s="37"/>
      <c r="S65" s="37"/>
      <c r="T65" s="37"/>
    </row>
    <row r="66" spans="1:20" x14ac:dyDescent="0.2">
      <c r="A66" s="37">
        <v>6</v>
      </c>
      <c r="B66" s="52" t="s">
        <v>857</v>
      </c>
      <c r="C66" s="53"/>
      <c r="D66" s="52"/>
      <c r="E66" s="99"/>
      <c r="F66" s="99"/>
      <c r="G66" s="101"/>
      <c r="H66" s="116" t="s">
        <v>596</v>
      </c>
      <c r="I66" s="99"/>
      <c r="J66" s="100"/>
      <c r="K66" s="99"/>
      <c r="L66" s="99"/>
      <c r="M66" s="115">
        <f>+M68</f>
        <v>200000000</v>
      </c>
      <c r="N66" s="37"/>
      <c r="O66" s="37"/>
      <c r="P66" s="37"/>
      <c r="Q66" s="37"/>
      <c r="R66" s="37"/>
      <c r="S66" s="37"/>
      <c r="T66" s="37"/>
    </row>
    <row r="67" spans="1:20" ht="25.5" x14ac:dyDescent="0.2">
      <c r="A67" s="37">
        <v>7</v>
      </c>
      <c r="B67" s="52"/>
      <c r="C67" s="53"/>
      <c r="D67" s="52" t="s">
        <v>124</v>
      </c>
      <c r="E67" s="117">
        <v>211</v>
      </c>
      <c r="F67" s="99" t="s">
        <v>1080</v>
      </c>
      <c r="G67" s="101"/>
      <c r="H67" s="46" t="s">
        <v>903</v>
      </c>
      <c r="I67" s="117">
        <v>250</v>
      </c>
      <c r="J67" s="100" t="s">
        <v>1048</v>
      </c>
      <c r="K67" s="117">
        <v>0</v>
      </c>
      <c r="L67" s="99" t="s">
        <v>1227</v>
      </c>
      <c r="M67" s="114"/>
      <c r="N67" s="37"/>
      <c r="O67" s="37"/>
      <c r="P67" s="37"/>
      <c r="Q67" s="37"/>
      <c r="R67" s="37"/>
      <c r="S67" s="37"/>
      <c r="T67" s="37"/>
    </row>
    <row r="68" spans="1:20" ht="25.5" x14ac:dyDescent="0.2">
      <c r="A68" s="37">
        <v>8</v>
      </c>
      <c r="B68" s="52"/>
      <c r="C68" s="53" t="s">
        <v>10</v>
      </c>
      <c r="D68" s="52"/>
      <c r="E68" s="99"/>
      <c r="F68" s="99"/>
      <c r="G68" s="101">
        <v>295951</v>
      </c>
      <c r="H68" s="46" t="s">
        <v>710</v>
      </c>
      <c r="I68" s="99"/>
      <c r="J68" s="100"/>
      <c r="K68" s="99"/>
      <c r="L68" s="99"/>
      <c r="M68" s="98">
        <f>+M69</f>
        <v>200000000</v>
      </c>
      <c r="N68" s="37"/>
      <c r="O68" s="37"/>
      <c r="P68" s="37"/>
      <c r="Q68" s="37"/>
      <c r="R68" s="37"/>
      <c r="S68" s="37"/>
      <c r="T68" s="37"/>
    </row>
    <row r="69" spans="1:20" x14ac:dyDescent="0.2">
      <c r="A69" s="37">
        <v>9</v>
      </c>
      <c r="B69" s="52"/>
      <c r="C69" s="53"/>
      <c r="D69" s="52"/>
      <c r="E69" s="99"/>
      <c r="F69" s="99"/>
      <c r="G69" s="101"/>
      <c r="H69" s="46" t="s">
        <v>835</v>
      </c>
      <c r="I69" s="99"/>
      <c r="J69" s="100"/>
      <c r="K69" s="99"/>
      <c r="L69" s="99"/>
      <c r="M69" s="98">
        <f>400000000-200000000</f>
        <v>200000000</v>
      </c>
      <c r="N69" s="37"/>
      <c r="O69" s="37"/>
      <c r="P69" s="37"/>
      <c r="Q69" s="37"/>
      <c r="R69" s="37"/>
      <c r="S69" s="37"/>
      <c r="T69" s="37"/>
    </row>
    <row r="70" spans="1:20" x14ac:dyDescent="0.2">
      <c r="A70" s="37"/>
      <c r="B70" s="52"/>
      <c r="C70" s="53"/>
      <c r="D70" s="52"/>
      <c r="E70" s="99"/>
      <c r="F70" s="99"/>
      <c r="G70" s="101"/>
      <c r="H70" s="46"/>
      <c r="I70" s="99"/>
      <c r="J70" s="100"/>
      <c r="K70" s="99"/>
      <c r="L70" s="99"/>
      <c r="M70" s="98"/>
      <c r="N70" s="37"/>
      <c r="O70" s="37"/>
      <c r="P70" s="37"/>
      <c r="Q70" s="37"/>
      <c r="R70" s="37"/>
      <c r="S70" s="37"/>
      <c r="T70" s="37"/>
    </row>
    <row r="71" spans="1:20" ht="25.5" x14ac:dyDescent="0.2">
      <c r="A71" s="37">
        <v>3</v>
      </c>
      <c r="B71" s="52" t="s">
        <v>841</v>
      </c>
      <c r="C71" s="53"/>
      <c r="D71" s="52"/>
      <c r="E71" s="99"/>
      <c r="F71" s="99"/>
      <c r="G71" s="101"/>
      <c r="H71" s="116" t="s">
        <v>165</v>
      </c>
      <c r="I71" s="99"/>
      <c r="J71" s="100"/>
      <c r="K71" s="99"/>
      <c r="L71" s="99"/>
      <c r="M71" s="115">
        <f>+M72+M105+M121</f>
        <v>8928088000</v>
      </c>
      <c r="N71" s="37"/>
      <c r="O71" s="37"/>
      <c r="P71" s="37"/>
      <c r="Q71" s="37"/>
      <c r="R71" s="37"/>
      <c r="S71" s="37"/>
      <c r="T71" s="37"/>
    </row>
    <row r="72" spans="1:20" x14ac:dyDescent="0.2">
      <c r="A72" s="37">
        <v>4</v>
      </c>
      <c r="B72" s="52" t="s">
        <v>857</v>
      </c>
      <c r="C72" s="53"/>
      <c r="D72" s="52"/>
      <c r="E72" s="99"/>
      <c r="F72" s="99"/>
      <c r="G72" s="101"/>
      <c r="H72" s="116" t="s">
        <v>1029</v>
      </c>
      <c r="I72" s="99"/>
      <c r="J72" s="100"/>
      <c r="K72" s="99"/>
      <c r="L72" s="99"/>
      <c r="M72" s="115">
        <f>+M74+M88+M97</f>
        <v>8408088000</v>
      </c>
      <c r="N72" s="37"/>
      <c r="O72" s="37"/>
      <c r="P72" s="37"/>
      <c r="Q72" s="37"/>
      <c r="R72" s="37"/>
      <c r="S72" s="37"/>
      <c r="T72" s="37"/>
    </row>
    <row r="73" spans="1:20" ht="25.5" x14ac:dyDescent="0.2">
      <c r="A73" s="37">
        <v>5</v>
      </c>
      <c r="B73" s="52"/>
      <c r="C73" s="53"/>
      <c r="D73" s="52"/>
      <c r="E73" s="117">
        <v>611</v>
      </c>
      <c r="F73" s="99" t="s">
        <v>268</v>
      </c>
      <c r="G73" s="101"/>
      <c r="H73" s="46" t="s">
        <v>293</v>
      </c>
      <c r="I73" s="117">
        <v>1471</v>
      </c>
      <c r="J73" s="100" t="s">
        <v>134</v>
      </c>
      <c r="K73" s="117">
        <v>2178</v>
      </c>
      <c r="L73" s="99" t="s">
        <v>1331</v>
      </c>
      <c r="M73" s="114"/>
      <c r="N73" s="37"/>
      <c r="O73" s="37"/>
      <c r="P73" s="37"/>
      <c r="Q73" s="37"/>
      <c r="R73" s="37"/>
      <c r="S73" s="37"/>
      <c r="T73" s="37"/>
    </row>
    <row r="74" spans="1:20" x14ac:dyDescent="0.2">
      <c r="A74" s="37">
        <v>6</v>
      </c>
      <c r="B74" s="52" t="s">
        <v>857</v>
      </c>
      <c r="C74" s="53"/>
      <c r="D74" s="52"/>
      <c r="E74" s="99"/>
      <c r="F74" s="99"/>
      <c r="G74" s="101"/>
      <c r="H74" s="116" t="s">
        <v>77</v>
      </c>
      <c r="I74" s="99"/>
      <c r="J74" s="100"/>
      <c r="K74" s="99"/>
      <c r="L74" s="99"/>
      <c r="M74" s="115">
        <f>+M83+M85</f>
        <v>7773088000</v>
      </c>
      <c r="N74" s="37"/>
      <c r="O74" s="37"/>
      <c r="P74" s="37"/>
      <c r="Q74" s="37"/>
      <c r="R74" s="37"/>
      <c r="S74" s="37"/>
      <c r="T74" s="37"/>
    </row>
    <row r="75" spans="1:20" ht="25.5" x14ac:dyDescent="0.2">
      <c r="A75" s="37"/>
      <c r="B75" s="52"/>
      <c r="C75" s="53"/>
      <c r="D75" s="52" t="s">
        <v>562</v>
      </c>
      <c r="E75" s="99" t="s">
        <v>1334</v>
      </c>
      <c r="F75" s="99" t="s">
        <v>319</v>
      </c>
      <c r="G75" s="101"/>
      <c r="H75" s="118" t="s">
        <v>1335</v>
      </c>
      <c r="I75" s="99" t="s">
        <v>1195</v>
      </c>
      <c r="J75" s="100" t="s">
        <v>286</v>
      </c>
      <c r="K75" s="99" t="s">
        <v>1200</v>
      </c>
      <c r="L75" s="99" t="s">
        <v>114</v>
      </c>
      <c r="M75" s="115"/>
      <c r="N75" s="37"/>
      <c r="O75" s="37"/>
      <c r="P75" s="37"/>
      <c r="Q75" s="37"/>
      <c r="R75" s="37"/>
      <c r="S75" s="37"/>
      <c r="T75" s="37"/>
    </row>
    <row r="76" spans="1:20" ht="25.5" x14ac:dyDescent="0.2">
      <c r="A76" s="37"/>
      <c r="B76" s="52"/>
      <c r="C76" s="53"/>
      <c r="D76" s="52" t="s">
        <v>562</v>
      </c>
      <c r="E76" s="117">
        <v>502</v>
      </c>
      <c r="F76" s="99" t="s">
        <v>1080</v>
      </c>
      <c r="G76" s="101"/>
      <c r="H76" s="46" t="s">
        <v>683</v>
      </c>
      <c r="I76" s="117">
        <v>15</v>
      </c>
      <c r="J76" s="100" t="s">
        <v>964</v>
      </c>
      <c r="K76" s="117">
        <v>15</v>
      </c>
      <c r="L76" s="99" t="s">
        <v>1195</v>
      </c>
      <c r="M76" s="115"/>
      <c r="N76" s="37"/>
      <c r="O76" s="37"/>
      <c r="P76" s="37"/>
      <c r="Q76" s="37"/>
      <c r="R76" s="37"/>
      <c r="S76" s="37"/>
      <c r="T76" s="37"/>
    </row>
    <row r="77" spans="1:20" ht="25.5" x14ac:dyDescent="0.2">
      <c r="A77" s="37"/>
      <c r="B77" s="52"/>
      <c r="C77" s="53"/>
      <c r="D77" s="52" t="s">
        <v>562</v>
      </c>
      <c r="E77" s="117">
        <v>503</v>
      </c>
      <c r="F77" s="99" t="s">
        <v>1080</v>
      </c>
      <c r="G77" s="101"/>
      <c r="H77" s="46" t="s">
        <v>1036</v>
      </c>
      <c r="I77" s="117">
        <v>5</v>
      </c>
      <c r="J77" s="100" t="s">
        <v>770</v>
      </c>
      <c r="K77" s="117">
        <v>0</v>
      </c>
      <c r="L77" s="99" t="s">
        <v>422</v>
      </c>
      <c r="M77" s="115"/>
      <c r="N77" s="37"/>
      <c r="O77" s="37"/>
      <c r="P77" s="37"/>
      <c r="Q77" s="37"/>
      <c r="R77" s="37"/>
      <c r="S77" s="37"/>
      <c r="T77" s="37"/>
    </row>
    <row r="78" spans="1:20" ht="25.5" x14ac:dyDescent="0.2">
      <c r="A78" s="37"/>
      <c r="B78" s="52"/>
      <c r="C78" s="53"/>
      <c r="D78" s="52" t="s">
        <v>562</v>
      </c>
      <c r="E78" s="117">
        <v>504</v>
      </c>
      <c r="F78" s="99" t="s">
        <v>319</v>
      </c>
      <c r="G78" s="101"/>
      <c r="H78" s="46" t="s">
        <v>694</v>
      </c>
      <c r="I78" s="117">
        <v>5</v>
      </c>
      <c r="J78" s="100" t="s">
        <v>770</v>
      </c>
      <c r="K78" s="117">
        <v>2</v>
      </c>
      <c r="L78" s="99" t="s">
        <v>301</v>
      </c>
      <c r="M78" s="115"/>
      <c r="N78" s="37"/>
      <c r="O78" s="37"/>
      <c r="P78" s="37"/>
      <c r="Q78" s="37"/>
      <c r="R78" s="37"/>
      <c r="S78" s="37"/>
      <c r="T78" s="37"/>
    </row>
    <row r="79" spans="1:20" ht="38.25" x14ac:dyDescent="0.2">
      <c r="A79" s="37"/>
      <c r="B79" s="52"/>
      <c r="C79" s="53"/>
      <c r="D79" s="52" t="s">
        <v>562</v>
      </c>
      <c r="E79" s="117">
        <v>505</v>
      </c>
      <c r="F79" s="99" t="s">
        <v>1080</v>
      </c>
      <c r="G79" s="101"/>
      <c r="H79" s="46" t="s">
        <v>569</v>
      </c>
      <c r="I79" s="117">
        <v>1</v>
      </c>
      <c r="J79" s="100" t="s">
        <v>190</v>
      </c>
      <c r="K79" s="117" t="s">
        <v>1186</v>
      </c>
      <c r="L79" s="99" t="s">
        <v>1186</v>
      </c>
      <c r="M79" s="115"/>
      <c r="N79" s="37"/>
      <c r="O79" s="37"/>
      <c r="P79" s="37"/>
      <c r="Q79" s="37"/>
      <c r="R79" s="37"/>
      <c r="S79" s="37"/>
      <c r="T79" s="37"/>
    </row>
    <row r="80" spans="1:20" ht="38.25" x14ac:dyDescent="0.2">
      <c r="A80" s="37"/>
      <c r="B80" s="52"/>
      <c r="C80" s="53"/>
      <c r="D80" s="52" t="s">
        <v>562</v>
      </c>
      <c r="E80" s="117">
        <v>506</v>
      </c>
      <c r="F80" s="99" t="s">
        <v>1080</v>
      </c>
      <c r="G80" s="101"/>
      <c r="H80" s="46" t="s">
        <v>535</v>
      </c>
      <c r="I80" s="117">
        <v>20</v>
      </c>
      <c r="J80" s="100" t="s">
        <v>170</v>
      </c>
      <c r="K80" s="117">
        <v>8</v>
      </c>
      <c r="L80" s="99" t="s">
        <v>1180</v>
      </c>
      <c r="M80" s="115"/>
      <c r="N80" s="37"/>
      <c r="O80" s="37"/>
      <c r="P80" s="37"/>
      <c r="Q80" s="37"/>
      <c r="R80" s="37"/>
      <c r="S80" s="37"/>
      <c r="T80" s="37"/>
    </row>
    <row r="81" spans="1:20" ht="70.5" customHeight="1" x14ac:dyDescent="0.2">
      <c r="A81" s="37">
        <v>7</v>
      </c>
      <c r="B81" s="52"/>
      <c r="C81" s="53"/>
      <c r="D81" s="52" t="s">
        <v>562</v>
      </c>
      <c r="E81" s="117">
        <v>507</v>
      </c>
      <c r="F81" s="99" t="s">
        <v>319</v>
      </c>
      <c r="G81" s="101"/>
      <c r="H81" s="120" t="s">
        <v>699</v>
      </c>
      <c r="I81" s="117">
        <v>117</v>
      </c>
      <c r="J81" s="100" t="s">
        <v>1015</v>
      </c>
      <c r="K81" s="117">
        <v>0</v>
      </c>
      <c r="L81" s="99" t="s">
        <v>1332</v>
      </c>
      <c r="M81" s="114"/>
      <c r="N81" s="37"/>
      <c r="O81" s="37"/>
      <c r="P81" s="37"/>
      <c r="Q81" s="37"/>
      <c r="R81" s="37"/>
      <c r="S81" s="37"/>
      <c r="T81" s="37"/>
    </row>
    <row r="82" spans="1:20" x14ac:dyDescent="0.2">
      <c r="A82" s="37">
        <v>7</v>
      </c>
      <c r="B82" s="52"/>
      <c r="C82" s="53"/>
      <c r="D82" s="32"/>
      <c r="E82" s="102"/>
      <c r="F82" s="102"/>
      <c r="G82" s="102"/>
      <c r="H82" s="102"/>
      <c r="I82" s="102"/>
      <c r="J82" s="102"/>
      <c r="K82" s="102"/>
      <c r="L82" s="102"/>
      <c r="M82" s="114"/>
      <c r="N82" s="37"/>
      <c r="O82" s="37"/>
      <c r="P82" s="37"/>
      <c r="Q82" s="37"/>
      <c r="R82" s="37"/>
      <c r="S82" s="37"/>
      <c r="T82" s="37"/>
    </row>
    <row r="83" spans="1:20" ht="72.75" customHeight="1" x14ac:dyDescent="0.2">
      <c r="A83" s="37">
        <v>8</v>
      </c>
      <c r="B83" s="52"/>
      <c r="C83" s="53" t="s">
        <v>1274</v>
      </c>
      <c r="D83" s="52"/>
      <c r="E83" s="99"/>
      <c r="F83" s="99"/>
      <c r="G83" s="101">
        <v>295950</v>
      </c>
      <c r="H83" s="119" t="s">
        <v>1273</v>
      </c>
      <c r="I83" s="99"/>
      <c r="J83" s="100"/>
      <c r="K83" s="99"/>
      <c r="L83" s="99"/>
      <c r="M83" s="98">
        <f>+M84</f>
        <v>1646500000</v>
      </c>
      <c r="N83" s="37"/>
      <c r="O83" s="37"/>
      <c r="P83" s="37"/>
      <c r="Q83" s="37"/>
      <c r="R83" s="37"/>
      <c r="S83" s="37"/>
      <c r="T83" s="37"/>
    </row>
    <row r="84" spans="1:20" x14ac:dyDescent="0.2">
      <c r="A84" s="37">
        <v>9</v>
      </c>
      <c r="B84" s="52"/>
      <c r="C84" s="53"/>
      <c r="D84" s="52"/>
      <c r="E84" s="99"/>
      <c r="F84" s="99"/>
      <c r="G84" s="101"/>
      <c r="H84" s="46" t="s">
        <v>830</v>
      </c>
      <c r="I84" s="99"/>
      <c r="J84" s="100"/>
      <c r="K84" s="99"/>
      <c r="L84" s="99"/>
      <c r="M84" s="98">
        <v>1646500000</v>
      </c>
      <c r="N84" s="37"/>
      <c r="O84" s="37"/>
      <c r="P84" s="37"/>
      <c r="Q84" s="37"/>
      <c r="R84" s="37"/>
      <c r="S84" s="37"/>
      <c r="T84" s="37"/>
    </row>
    <row r="85" spans="1:20" ht="25.5" x14ac:dyDescent="0.2">
      <c r="A85" s="37"/>
      <c r="B85" s="52"/>
      <c r="C85" s="53" t="s">
        <v>1511</v>
      </c>
      <c r="D85" s="52"/>
      <c r="E85" s="99"/>
      <c r="F85" s="99"/>
      <c r="G85" s="101">
        <v>295950</v>
      </c>
      <c r="H85" s="46" t="s">
        <v>1333</v>
      </c>
      <c r="I85" s="99"/>
      <c r="J85" s="100"/>
      <c r="K85" s="99"/>
      <c r="L85" s="99"/>
      <c r="M85" s="98">
        <f>+M86+M87</f>
        <v>6126588000</v>
      </c>
      <c r="N85" s="37"/>
      <c r="O85" s="37"/>
      <c r="P85" s="37"/>
      <c r="Q85" s="37"/>
      <c r="R85" s="37"/>
      <c r="S85" s="37"/>
      <c r="T85" s="37"/>
    </row>
    <row r="86" spans="1:20" x14ac:dyDescent="0.2">
      <c r="A86" s="37"/>
      <c r="B86" s="52"/>
      <c r="C86" s="53"/>
      <c r="D86" s="52"/>
      <c r="E86" s="99"/>
      <c r="F86" s="99"/>
      <c r="G86" s="101"/>
      <c r="H86" s="46" t="s">
        <v>830</v>
      </c>
      <c r="I86" s="99"/>
      <c r="J86" s="100"/>
      <c r="K86" s="99"/>
      <c r="L86" s="99"/>
      <c r="M86" s="98">
        <f>30000000+1500000000+1865000000+ 200000000+542000000+50000000+1526437000</f>
        <v>5713437000</v>
      </c>
      <c r="N86" s="37"/>
      <c r="O86" s="37"/>
      <c r="P86" s="37"/>
      <c r="Q86" s="37"/>
      <c r="R86" s="37"/>
      <c r="S86" s="37"/>
      <c r="T86" s="37"/>
    </row>
    <row r="87" spans="1:20" x14ac:dyDescent="0.2">
      <c r="A87" s="37"/>
      <c r="B87" s="52"/>
      <c r="C87" s="53"/>
      <c r="D87" s="52"/>
      <c r="E87" s="99"/>
      <c r="F87" s="99"/>
      <c r="G87" s="101"/>
      <c r="H87" s="46" t="s">
        <v>1105</v>
      </c>
      <c r="I87" s="99"/>
      <c r="J87" s="100"/>
      <c r="K87" s="99"/>
      <c r="L87" s="99"/>
      <c r="M87" s="98">
        <v>413151000</v>
      </c>
      <c r="N87" s="37"/>
      <c r="O87" s="37"/>
      <c r="P87" s="37"/>
      <c r="Q87" s="37"/>
      <c r="R87" s="37"/>
      <c r="S87" s="37"/>
      <c r="T87" s="37"/>
    </row>
    <row r="88" spans="1:20" x14ac:dyDescent="0.2">
      <c r="A88" s="37">
        <v>6</v>
      </c>
      <c r="B88" s="52" t="s">
        <v>497</v>
      </c>
      <c r="C88" s="53"/>
      <c r="D88" s="52"/>
      <c r="E88" s="99"/>
      <c r="F88" s="99"/>
      <c r="G88" s="101"/>
      <c r="H88" s="116" t="s">
        <v>265</v>
      </c>
      <c r="I88" s="99"/>
      <c r="J88" s="100"/>
      <c r="K88" s="99"/>
      <c r="L88" s="99"/>
      <c r="M88" s="115">
        <f>+M95</f>
        <v>450000000</v>
      </c>
      <c r="N88" s="37"/>
      <c r="O88" s="37"/>
      <c r="P88" s="37"/>
      <c r="Q88" s="37"/>
      <c r="R88" s="37"/>
      <c r="S88" s="37"/>
      <c r="T88" s="37"/>
    </row>
    <row r="89" spans="1:20" x14ac:dyDescent="0.2">
      <c r="A89" s="37"/>
      <c r="B89" s="52"/>
      <c r="C89" s="53"/>
      <c r="D89" s="52"/>
      <c r="E89" s="99"/>
      <c r="F89" s="99"/>
      <c r="G89" s="101"/>
      <c r="H89" s="116"/>
      <c r="I89" s="99"/>
      <c r="J89" s="100"/>
      <c r="K89" s="99"/>
      <c r="L89" s="99"/>
      <c r="M89" s="115"/>
      <c r="N89" s="37"/>
      <c r="O89" s="37"/>
      <c r="P89" s="37"/>
      <c r="Q89" s="37"/>
      <c r="R89" s="37"/>
      <c r="S89" s="37"/>
      <c r="T89" s="37"/>
    </row>
    <row r="90" spans="1:20" ht="38.25" x14ac:dyDescent="0.2">
      <c r="A90" s="37"/>
      <c r="B90" s="52"/>
      <c r="C90" s="53"/>
      <c r="D90" s="52" t="s">
        <v>666</v>
      </c>
      <c r="E90" s="117">
        <v>508</v>
      </c>
      <c r="F90" s="99" t="s">
        <v>1080</v>
      </c>
      <c r="G90" s="101"/>
      <c r="H90" s="46" t="s">
        <v>477</v>
      </c>
      <c r="I90" s="117">
        <v>4</v>
      </c>
      <c r="J90" s="100" t="s">
        <v>257</v>
      </c>
      <c r="K90" s="117">
        <v>0</v>
      </c>
      <c r="L90" s="99" t="s">
        <v>1025</v>
      </c>
      <c r="M90" s="115"/>
      <c r="N90" s="37"/>
      <c r="O90" s="37"/>
      <c r="P90" s="37"/>
      <c r="Q90" s="37"/>
      <c r="R90" s="37"/>
      <c r="S90" s="37"/>
      <c r="T90" s="37"/>
    </row>
    <row r="91" spans="1:20" ht="38.25" x14ac:dyDescent="0.2">
      <c r="A91" s="37">
        <v>7</v>
      </c>
      <c r="B91" s="52"/>
      <c r="C91" s="53"/>
      <c r="D91" s="52" t="s">
        <v>666</v>
      </c>
      <c r="E91" s="117">
        <v>509</v>
      </c>
      <c r="F91" s="99" t="s">
        <v>1080</v>
      </c>
      <c r="G91" s="101"/>
      <c r="H91" s="46" t="s">
        <v>138</v>
      </c>
      <c r="I91" s="117">
        <v>116</v>
      </c>
      <c r="J91" s="100" t="s">
        <v>286</v>
      </c>
      <c r="K91" s="117">
        <v>0</v>
      </c>
      <c r="L91" s="99" t="s">
        <v>1332</v>
      </c>
      <c r="M91" s="114"/>
      <c r="N91" s="37"/>
      <c r="O91" s="37"/>
      <c r="P91" s="37"/>
      <c r="Q91" s="37"/>
      <c r="R91" s="37"/>
      <c r="S91" s="37"/>
      <c r="T91" s="37"/>
    </row>
    <row r="92" spans="1:20" ht="25.5" x14ac:dyDescent="0.2">
      <c r="A92" s="37"/>
      <c r="B92" s="52"/>
      <c r="C92" s="53"/>
      <c r="D92" s="52" t="s">
        <v>666</v>
      </c>
      <c r="E92" s="117">
        <v>510</v>
      </c>
      <c r="F92" s="99" t="s">
        <v>1080</v>
      </c>
      <c r="G92" s="101"/>
      <c r="H92" s="46" t="s">
        <v>65</v>
      </c>
      <c r="I92" s="117">
        <v>1</v>
      </c>
      <c r="J92" s="100" t="s">
        <v>257</v>
      </c>
      <c r="K92" s="117">
        <v>1</v>
      </c>
      <c r="L92" s="99" t="s">
        <v>1025</v>
      </c>
      <c r="M92" s="114"/>
      <c r="N92" s="37"/>
      <c r="O92" s="37"/>
      <c r="P92" s="37"/>
      <c r="Q92" s="37"/>
      <c r="R92" s="37"/>
      <c r="S92" s="37"/>
      <c r="T92" s="37"/>
    </row>
    <row r="93" spans="1:20" ht="51" x14ac:dyDescent="0.2">
      <c r="A93" s="37">
        <v>7</v>
      </c>
      <c r="B93" s="52"/>
      <c r="C93" s="53"/>
      <c r="D93" s="52" t="s">
        <v>666</v>
      </c>
      <c r="E93" s="117">
        <v>511</v>
      </c>
      <c r="F93" s="99" t="s">
        <v>1080</v>
      </c>
      <c r="G93" s="101"/>
      <c r="H93" s="46" t="s">
        <v>789</v>
      </c>
      <c r="I93" s="117">
        <v>5</v>
      </c>
      <c r="J93" s="100" t="s">
        <v>703</v>
      </c>
      <c r="K93" s="117">
        <v>0</v>
      </c>
      <c r="L93" s="99" t="s">
        <v>301</v>
      </c>
      <c r="M93" s="114"/>
      <c r="N93" s="37"/>
      <c r="O93" s="37"/>
      <c r="P93" s="37"/>
      <c r="Q93" s="37"/>
      <c r="R93" s="37"/>
      <c r="S93" s="37"/>
      <c r="T93" s="37"/>
    </row>
    <row r="94" spans="1:20" x14ac:dyDescent="0.2">
      <c r="A94" s="37">
        <v>7</v>
      </c>
      <c r="B94" s="52"/>
      <c r="C94" s="53"/>
      <c r="D94" s="32"/>
      <c r="E94" s="102"/>
      <c r="F94" s="102"/>
      <c r="G94" s="102"/>
      <c r="H94" s="102"/>
      <c r="I94" s="102"/>
      <c r="J94" s="102"/>
      <c r="K94" s="102"/>
      <c r="L94" s="102"/>
      <c r="M94" s="114"/>
      <c r="N94" s="37"/>
      <c r="O94" s="37"/>
      <c r="P94" s="37"/>
      <c r="Q94" s="37"/>
      <c r="R94" s="37"/>
      <c r="S94" s="37"/>
      <c r="T94" s="37"/>
    </row>
    <row r="95" spans="1:20" ht="25.5" x14ac:dyDescent="0.2">
      <c r="A95" s="37">
        <v>8</v>
      </c>
      <c r="B95" s="52"/>
      <c r="C95" s="53" t="s">
        <v>10</v>
      </c>
      <c r="D95" s="52"/>
      <c r="E95" s="99"/>
      <c r="F95" s="99"/>
      <c r="G95" s="101">
        <v>295955</v>
      </c>
      <c r="H95" s="46" t="s">
        <v>755</v>
      </c>
      <c r="I95" s="99"/>
      <c r="J95" s="100"/>
      <c r="K95" s="99"/>
      <c r="L95" s="99"/>
      <c r="M95" s="98">
        <f>+M96</f>
        <v>450000000</v>
      </c>
      <c r="N95" s="37"/>
      <c r="O95" s="37"/>
      <c r="P95" s="37"/>
      <c r="Q95" s="37"/>
      <c r="R95" s="37"/>
      <c r="S95" s="37"/>
      <c r="T95" s="37"/>
    </row>
    <row r="96" spans="1:20" x14ac:dyDescent="0.2">
      <c r="A96" s="37">
        <v>9</v>
      </c>
      <c r="B96" s="52"/>
      <c r="C96" s="53"/>
      <c r="D96" s="52"/>
      <c r="E96" s="99"/>
      <c r="F96" s="99"/>
      <c r="G96" s="101"/>
      <c r="H96" s="46" t="s">
        <v>835</v>
      </c>
      <c r="I96" s="99"/>
      <c r="J96" s="100"/>
      <c r="K96" s="99"/>
      <c r="L96" s="99"/>
      <c r="M96" s="98">
        <f>50000000+100000000+150000000+150000000</f>
        <v>450000000</v>
      </c>
      <c r="N96" s="37"/>
      <c r="O96" s="37"/>
      <c r="P96" s="37"/>
      <c r="Q96" s="37"/>
      <c r="R96" s="37"/>
      <c r="S96" s="37"/>
      <c r="T96" s="37"/>
    </row>
    <row r="97" spans="1:20" x14ac:dyDescent="0.2">
      <c r="A97" s="37"/>
      <c r="B97" s="52" t="s">
        <v>955</v>
      </c>
      <c r="C97" s="53"/>
      <c r="D97" s="52"/>
      <c r="E97" s="99"/>
      <c r="F97" s="99"/>
      <c r="G97" s="101"/>
      <c r="H97" s="45" t="s">
        <v>1342</v>
      </c>
      <c r="I97" s="99"/>
      <c r="J97" s="100"/>
      <c r="K97" s="99"/>
      <c r="L97" s="99"/>
      <c r="M97" s="98">
        <f>+M102</f>
        <v>185000000</v>
      </c>
      <c r="N97" s="37"/>
      <c r="O97" s="37"/>
      <c r="P97" s="37"/>
      <c r="Q97" s="37"/>
      <c r="R97" s="37"/>
      <c r="S97" s="37"/>
      <c r="T97" s="37"/>
    </row>
    <row r="98" spans="1:20" ht="38.25" x14ac:dyDescent="0.2">
      <c r="A98" s="37"/>
      <c r="B98" s="52"/>
      <c r="C98" s="53"/>
      <c r="D98" s="52" t="s">
        <v>730</v>
      </c>
      <c r="E98" s="99" t="s">
        <v>1343</v>
      </c>
      <c r="F98" s="99" t="s">
        <v>1080</v>
      </c>
      <c r="G98" s="101"/>
      <c r="H98" s="46" t="s">
        <v>1344</v>
      </c>
      <c r="I98" s="99" t="s">
        <v>1165</v>
      </c>
      <c r="J98" s="100" t="s">
        <v>1345</v>
      </c>
      <c r="K98" s="99" t="s">
        <v>1118</v>
      </c>
      <c r="L98" s="99" t="s">
        <v>1165</v>
      </c>
      <c r="M98" s="98"/>
      <c r="N98" s="37"/>
      <c r="O98" s="37"/>
      <c r="P98" s="37"/>
      <c r="Q98" s="37"/>
      <c r="R98" s="37"/>
      <c r="S98" s="37"/>
      <c r="T98" s="37"/>
    </row>
    <row r="99" spans="1:20" ht="38.25" x14ac:dyDescent="0.2">
      <c r="A99" s="37"/>
      <c r="B99" s="52"/>
      <c r="C99" s="53"/>
      <c r="D99" s="52" t="s">
        <v>730</v>
      </c>
      <c r="E99" s="99" t="s">
        <v>1347</v>
      </c>
      <c r="F99" s="99" t="s">
        <v>1080</v>
      </c>
      <c r="G99" s="101"/>
      <c r="H99" s="46" t="s">
        <v>1348</v>
      </c>
      <c r="I99" s="99" t="s">
        <v>1330</v>
      </c>
      <c r="J99" s="100" t="s">
        <v>1349</v>
      </c>
      <c r="K99" s="99" t="s">
        <v>1118</v>
      </c>
      <c r="L99" s="99" t="s">
        <v>1330</v>
      </c>
      <c r="M99" s="98"/>
      <c r="N99" s="37"/>
      <c r="O99" s="37"/>
      <c r="P99" s="37"/>
      <c r="Q99" s="37"/>
      <c r="R99" s="37"/>
      <c r="S99" s="37"/>
      <c r="T99" s="37"/>
    </row>
    <row r="100" spans="1:20" ht="56.25" customHeight="1" x14ac:dyDescent="0.2">
      <c r="A100" s="37"/>
      <c r="B100" s="52"/>
      <c r="C100" s="53"/>
      <c r="D100" s="52" t="s">
        <v>730</v>
      </c>
      <c r="E100" s="99" t="s">
        <v>1350</v>
      </c>
      <c r="F100" s="99" t="s">
        <v>1080</v>
      </c>
      <c r="G100" s="101"/>
      <c r="H100" s="121" t="s">
        <v>1351</v>
      </c>
      <c r="I100" s="99" t="s">
        <v>1330</v>
      </c>
      <c r="J100" s="100" t="s">
        <v>286</v>
      </c>
      <c r="K100" s="99" t="s">
        <v>1118</v>
      </c>
      <c r="L100" s="99" t="s">
        <v>1227</v>
      </c>
      <c r="M100" s="98"/>
      <c r="N100" s="37"/>
      <c r="O100" s="37"/>
      <c r="P100" s="37"/>
      <c r="Q100" s="37"/>
      <c r="R100" s="37"/>
      <c r="S100" s="37"/>
      <c r="T100" s="37"/>
    </row>
    <row r="101" spans="1:20" ht="38.25" x14ac:dyDescent="0.2">
      <c r="A101" s="37"/>
      <c r="B101" s="52"/>
      <c r="C101" s="53"/>
      <c r="D101" s="52" t="s">
        <v>730</v>
      </c>
      <c r="E101" s="99" t="s">
        <v>1352</v>
      </c>
      <c r="F101" s="99" t="s">
        <v>1080</v>
      </c>
      <c r="G101" s="101"/>
      <c r="H101" s="46" t="s">
        <v>1353</v>
      </c>
      <c r="I101" s="99" t="s">
        <v>301</v>
      </c>
      <c r="J101" s="100" t="s">
        <v>1354</v>
      </c>
      <c r="K101" s="99" t="s">
        <v>1118</v>
      </c>
      <c r="L101" s="99" t="s">
        <v>301</v>
      </c>
      <c r="M101" s="98"/>
      <c r="N101" s="37"/>
      <c r="O101" s="37"/>
      <c r="P101" s="37"/>
      <c r="Q101" s="37"/>
      <c r="R101" s="37"/>
      <c r="S101" s="37"/>
      <c r="T101" s="37"/>
    </row>
    <row r="102" spans="1:20" ht="38.25" x14ac:dyDescent="0.2">
      <c r="A102" s="37"/>
      <c r="B102" s="52"/>
      <c r="C102" s="53" t="s">
        <v>10</v>
      </c>
      <c r="D102" s="52"/>
      <c r="E102" s="99"/>
      <c r="F102" s="99"/>
      <c r="G102" s="101">
        <v>296153</v>
      </c>
      <c r="H102" s="46" t="s">
        <v>1346</v>
      </c>
      <c r="I102" s="99"/>
      <c r="J102" s="100"/>
      <c r="K102" s="99"/>
      <c r="L102" s="99"/>
      <c r="M102" s="98">
        <f>+M103</f>
        <v>185000000</v>
      </c>
      <c r="N102" s="37"/>
      <c r="O102" s="37"/>
      <c r="P102" s="37"/>
      <c r="Q102" s="37"/>
      <c r="R102" s="37"/>
      <c r="S102" s="37"/>
      <c r="T102" s="37"/>
    </row>
    <row r="103" spans="1:20" s="102" customFormat="1" x14ac:dyDescent="0.2">
      <c r="A103" s="98"/>
      <c r="B103" s="99"/>
      <c r="C103" s="100"/>
      <c r="D103" s="99"/>
      <c r="E103" s="99"/>
      <c r="F103" s="99"/>
      <c r="G103" s="101"/>
      <c r="H103" s="46" t="s">
        <v>835</v>
      </c>
      <c r="I103" s="99"/>
      <c r="J103" s="100"/>
      <c r="K103" s="99"/>
      <c r="L103" s="99"/>
      <c r="M103" s="98">
        <v>185000000</v>
      </c>
      <c r="N103" s="98"/>
      <c r="O103" s="98"/>
      <c r="P103" s="98"/>
      <c r="Q103" s="98"/>
      <c r="R103" s="98"/>
      <c r="S103" s="98"/>
      <c r="T103" s="98"/>
    </row>
    <row r="104" spans="1:20" x14ac:dyDescent="0.2">
      <c r="A104" s="37"/>
      <c r="B104" s="52"/>
      <c r="C104" s="53"/>
      <c r="D104" s="52"/>
      <c r="E104" s="99"/>
      <c r="F104" s="99"/>
      <c r="G104" s="101"/>
      <c r="H104" s="46"/>
      <c r="I104" s="99"/>
      <c r="J104" s="100"/>
      <c r="K104" s="99"/>
      <c r="L104" s="99"/>
      <c r="M104" s="98"/>
      <c r="N104" s="37"/>
      <c r="O104" s="37"/>
      <c r="P104" s="37"/>
      <c r="Q104" s="37"/>
      <c r="R104" s="37"/>
      <c r="S104" s="37"/>
      <c r="T104" s="37"/>
    </row>
    <row r="105" spans="1:20" ht="25.5" x14ac:dyDescent="0.2">
      <c r="A105" s="37">
        <v>4</v>
      </c>
      <c r="B105" s="52" t="s">
        <v>955</v>
      </c>
      <c r="C105" s="53"/>
      <c r="D105" s="52"/>
      <c r="E105" s="99"/>
      <c r="F105" s="99"/>
      <c r="G105" s="101"/>
      <c r="H105" s="116" t="s">
        <v>923</v>
      </c>
      <c r="I105" s="99"/>
      <c r="J105" s="100"/>
      <c r="K105" s="99"/>
      <c r="L105" s="99"/>
      <c r="M105" s="115">
        <f>+M108+M116+M112</f>
        <v>500000000</v>
      </c>
      <c r="N105" s="37"/>
      <c r="O105" s="37"/>
      <c r="P105" s="37"/>
      <c r="Q105" s="37"/>
      <c r="R105" s="37"/>
      <c r="S105" s="37"/>
      <c r="T105" s="37"/>
    </row>
    <row r="106" spans="1:20" ht="25.5" x14ac:dyDescent="0.2">
      <c r="A106" s="37"/>
      <c r="B106" s="52"/>
      <c r="C106" s="53"/>
      <c r="D106" s="52"/>
      <c r="E106" s="117">
        <v>617</v>
      </c>
      <c r="F106" s="99" t="s">
        <v>268</v>
      </c>
      <c r="G106" s="101"/>
      <c r="H106" s="46" t="s">
        <v>51</v>
      </c>
      <c r="I106" s="117">
        <v>92</v>
      </c>
      <c r="J106" s="100" t="s">
        <v>286</v>
      </c>
      <c r="K106" s="117"/>
      <c r="L106" s="99"/>
      <c r="M106" s="115"/>
      <c r="N106" s="37"/>
      <c r="O106" s="37"/>
      <c r="P106" s="37"/>
      <c r="Q106" s="37"/>
      <c r="R106" s="37"/>
      <c r="S106" s="37"/>
      <c r="T106" s="37"/>
    </row>
    <row r="107" spans="1:20" ht="25.5" x14ac:dyDescent="0.2">
      <c r="A107" s="37">
        <v>5</v>
      </c>
      <c r="B107" s="52"/>
      <c r="C107" s="53"/>
      <c r="D107" s="52"/>
      <c r="E107" s="117">
        <v>618</v>
      </c>
      <c r="F107" s="99" t="s">
        <v>268</v>
      </c>
      <c r="G107" s="101"/>
      <c r="H107" s="46" t="s">
        <v>950</v>
      </c>
      <c r="I107" s="117">
        <v>116</v>
      </c>
      <c r="J107" s="100" t="s">
        <v>286</v>
      </c>
      <c r="K107" s="117"/>
      <c r="L107" s="99"/>
      <c r="M107" s="114"/>
      <c r="N107" s="37"/>
      <c r="O107" s="37"/>
      <c r="P107" s="37"/>
      <c r="Q107" s="37"/>
      <c r="R107" s="37"/>
      <c r="S107" s="37"/>
      <c r="T107" s="37"/>
    </row>
    <row r="108" spans="1:20" ht="25.5" x14ac:dyDescent="0.2">
      <c r="A108" s="37">
        <v>6</v>
      </c>
      <c r="B108" s="52" t="s">
        <v>857</v>
      </c>
      <c r="C108" s="53"/>
      <c r="D108" s="52"/>
      <c r="E108" s="99"/>
      <c r="F108" s="99"/>
      <c r="G108" s="101"/>
      <c r="H108" s="116" t="s">
        <v>636</v>
      </c>
      <c r="I108" s="99"/>
      <c r="J108" s="100"/>
      <c r="K108" s="99"/>
      <c r="L108" s="99"/>
      <c r="M108" s="115">
        <f>+M110</f>
        <v>50000000</v>
      </c>
      <c r="N108" s="37"/>
      <c r="O108" s="37"/>
      <c r="P108" s="37"/>
      <c r="Q108" s="37"/>
      <c r="R108" s="37"/>
      <c r="S108" s="37"/>
      <c r="T108" s="37"/>
    </row>
    <row r="109" spans="1:20" ht="25.5" x14ac:dyDescent="0.2">
      <c r="A109" s="37">
        <v>7</v>
      </c>
      <c r="B109" s="52"/>
      <c r="C109" s="53"/>
      <c r="D109" s="52" t="s">
        <v>597</v>
      </c>
      <c r="E109" s="117">
        <v>543</v>
      </c>
      <c r="F109" s="99" t="s">
        <v>1080</v>
      </c>
      <c r="G109" s="101"/>
      <c r="H109" s="46" t="s">
        <v>396</v>
      </c>
      <c r="I109" s="117">
        <v>6000</v>
      </c>
      <c r="J109" s="100" t="s">
        <v>432</v>
      </c>
      <c r="K109" s="117">
        <f>852+1085</f>
        <v>1937</v>
      </c>
      <c r="L109" s="99" t="s">
        <v>1336</v>
      </c>
      <c r="M109" s="114"/>
      <c r="N109" s="37"/>
      <c r="O109" s="37"/>
      <c r="P109" s="37"/>
      <c r="Q109" s="37"/>
      <c r="R109" s="37"/>
      <c r="S109" s="37"/>
      <c r="T109" s="37"/>
    </row>
    <row r="110" spans="1:20" ht="38.25" x14ac:dyDescent="0.2">
      <c r="A110" s="37">
        <v>8</v>
      </c>
      <c r="B110" s="52"/>
      <c r="C110" s="53" t="s">
        <v>10</v>
      </c>
      <c r="D110" s="52"/>
      <c r="E110" s="99"/>
      <c r="F110" s="99"/>
      <c r="G110" s="101">
        <v>296004</v>
      </c>
      <c r="H110" s="46" t="s">
        <v>877</v>
      </c>
      <c r="I110" s="99"/>
      <c r="J110" s="100"/>
      <c r="K110" s="99"/>
      <c r="L110" s="99"/>
      <c r="M110" s="98">
        <f>+M111</f>
        <v>50000000</v>
      </c>
      <c r="N110" s="37"/>
      <c r="O110" s="37"/>
      <c r="P110" s="37"/>
      <c r="Q110" s="37"/>
      <c r="R110" s="37"/>
      <c r="S110" s="37"/>
      <c r="T110" s="37"/>
    </row>
    <row r="111" spans="1:20" x14ac:dyDescent="0.2">
      <c r="A111" s="37">
        <v>9</v>
      </c>
      <c r="B111" s="52"/>
      <c r="C111" s="53"/>
      <c r="D111" s="52"/>
      <c r="E111" s="99"/>
      <c r="F111" s="99"/>
      <c r="G111" s="101"/>
      <c r="H111" s="46" t="s">
        <v>835</v>
      </c>
      <c r="I111" s="99"/>
      <c r="J111" s="100"/>
      <c r="K111" s="99"/>
      <c r="L111" s="99"/>
      <c r="M111" s="98">
        <v>50000000</v>
      </c>
      <c r="N111" s="37"/>
      <c r="O111" s="37"/>
      <c r="P111" s="37"/>
      <c r="Q111" s="37"/>
      <c r="R111" s="37"/>
      <c r="S111" s="37"/>
      <c r="T111" s="37"/>
    </row>
    <row r="112" spans="1:20" x14ac:dyDescent="0.2">
      <c r="A112" s="37"/>
      <c r="B112" s="52" t="s">
        <v>955</v>
      </c>
      <c r="C112" s="53"/>
      <c r="D112" s="52"/>
      <c r="E112" s="99"/>
      <c r="F112" s="99"/>
      <c r="G112" s="101"/>
      <c r="H112" s="45" t="s">
        <v>801</v>
      </c>
      <c r="I112" s="99"/>
      <c r="J112" s="100"/>
      <c r="K112" s="99"/>
      <c r="L112" s="99"/>
      <c r="M112" s="115">
        <f>+M114</f>
        <v>250000000</v>
      </c>
      <c r="N112" s="37"/>
      <c r="O112" s="37"/>
      <c r="P112" s="37"/>
      <c r="Q112" s="37"/>
      <c r="R112" s="37"/>
      <c r="S112" s="37"/>
      <c r="T112" s="37"/>
    </row>
    <row r="113" spans="1:20" ht="38.25" x14ac:dyDescent="0.2">
      <c r="A113" s="37"/>
      <c r="B113" s="52"/>
      <c r="C113" s="53"/>
      <c r="D113" s="52" t="s">
        <v>1340</v>
      </c>
      <c r="E113" s="99" t="s">
        <v>1337</v>
      </c>
      <c r="F113" s="99" t="s">
        <v>1080</v>
      </c>
      <c r="G113" s="101"/>
      <c r="H113" s="46" t="s">
        <v>1338</v>
      </c>
      <c r="I113" s="99" t="s">
        <v>841</v>
      </c>
      <c r="J113" s="100" t="s">
        <v>1339</v>
      </c>
      <c r="K113" s="99" t="s">
        <v>1118</v>
      </c>
      <c r="L113" s="99" t="s">
        <v>422</v>
      </c>
      <c r="M113" s="98"/>
      <c r="N113" s="37"/>
      <c r="O113" s="37"/>
      <c r="P113" s="37"/>
      <c r="Q113" s="37"/>
      <c r="R113" s="37"/>
      <c r="S113" s="37"/>
      <c r="T113" s="37"/>
    </row>
    <row r="114" spans="1:20" ht="25.5" x14ac:dyDescent="0.2">
      <c r="A114" s="37"/>
      <c r="B114" s="52"/>
      <c r="C114" s="53"/>
      <c r="D114" s="52"/>
      <c r="E114" s="99"/>
      <c r="F114" s="99"/>
      <c r="G114" s="101">
        <v>296053</v>
      </c>
      <c r="H114" s="46" t="s">
        <v>1341</v>
      </c>
      <c r="I114" s="99"/>
      <c r="J114" s="100"/>
      <c r="K114" s="99"/>
      <c r="L114" s="99"/>
      <c r="M114" s="98">
        <f>+M115</f>
        <v>250000000</v>
      </c>
      <c r="N114" s="37"/>
      <c r="O114" s="37"/>
      <c r="P114" s="37"/>
      <c r="Q114" s="37"/>
      <c r="R114" s="37"/>
      <c r="S114" s="37"/>
      <c r="T114" s="37"/>
    </row>
    <row r="115" spans="1:20" x14ac:dyDescent="0.2">
      <c r="A115" s="37"/>
      <c r="B115" s="52"/>
      <c r="C115" s="53"/>
      <c r="D115" s="52"/>
      <c r="E115" s="99"/>
      <c r="F115" s="99"/>
      <c r="G115" s="101"/>
      <c r="H115" s="46" t="s">
        <v>835</v>
      </c>
      <c r="I115" s="99"/>
      <c r="J115" s="100"/>
      <c r="K115" s="99"/>
      <c r="L115" s="99"/>
      <c r="M115" s="98">
        <v>250000000</v>
      </c>
      <c r="N115" s="37"/>
      <c r="O115" s="37"/>
      <c r="P115" s="37"/>
      <c r="Q115" s="37"/>
      <c r="R115" s="37"/>
      <c r="S115" s="37"/>
      <c r="T115" s="37"/>
    </row>
    <row r="116" spans="1:20" x14ac:dyDescent="0.2">
      <c r="A116" s="37">
        <v>6</v>
      </c>
      <c r="B116" s="52" t="s">
        <v>285</v>
      </c>
      <c r="C116" s="53"/>
      <c r="D116" s="52"/>
      <c r="E116" s="99"/>
      <c r="F116" s="99"/>
      <c r="G116" s="101"/>
      <c r="H116" s="116" t="s">
        <v>283</v>
      </c>
      <c r="I116" s="99"/>
      <c r="J116" s="100"/>
      <c r="K116" s="99"/>
      <c r="L116" s="99"/>
      <c r="M116" s="115">
        <f>+M118</f>
        <v>200000000</v>
      </c>
      <c r="N116" s="37"/>
      <c r="O116" s="37"/>
      <c r="P116" s="37"/>
      <c r="Q116" s="37"/>
      <c r="R116" s="37"/>
      <c r="S116" s="37"/>
      <c r="T116" s="37"/>
    </row>
    <row r="117" spans="1:20" ht="25.5" x14ac:dyDescent="0.2">
      <c r="A117" s="37">
        <v>7</v>
      </c>
      <c r="B117" s="52"/>
      <c r="C117" s="53"/>
      <c r="D117" s="52" t="s">
        <v>503</v>
      </c>
      <c r="E117" s="117">
        <v>551</v>
      </c>
      <c r="F117" s="99" t="s">
        <v>1080</v>
      </c>
      <c r="G117" s="101"/>
      <c r="H117" s="46" t="s">
        <v>553</v>
      </c>
      <c r="I117" s="117">
        <v>15</v>
      </c>
      <c r="J117" s="100" t="s">
        <v>640</v>
      </c>
      <c r="K117" s="117">
        <v>0</v>
      </c>
      <c r="L117" s="99" t="s">
        <v>1180</v>
      </c>
      <c r="M117" s="114"/>
      <c r="N117" s="37"/>
      <c r="O117" s="37"/>
      <c r="P117" s="37"/>
      <c r="Q117" s="37"/>
      <c r="R117" s="37"/>
      <c r="S117" s="37"/>
      <c r="T117" s="37"/>
    </row>
    <row r="118" spans="1:20" ht="25.5" x14ac:dyDescent="0.2">
      <c r="A118" s="37">
        <v>8</v>
      </c>
      <c r="B118" s="52"/>
      <c r="C118" s="53" t="s">
        <v>128</v>
      </c>
      <c r="D118" s="52"/>
      <c r="E118" s="99"/>
      <c r="F118" s="99"/>
      <c r="G118" s="101">
        <v>295941</v>
      </c>
      <c r="H118" s="46" t="s">
        <v>143</v>
      </c>
      <c r="I118" s="99"/>
      <c r="J118" s="100"/>
      <c r="K118" s="99"/>
      <c r="L118" s="99"/>
      <c r="M118" s="98">
        <f>+M119</f>
        <v>200000000</v>
      </c>
      <c r="N118" s="37"/>
      <c r="O118" s="37"/>
      <c r="P118" s="37"/>
      <c r="Q118" s="37"/>
      <c r="R118" s="37"/>
      <c r="S118" s="37"/>
      <c r="T118" s="37"/>
    </row>
    <row r="119" spans="1:20" x14ac:dyDescent="0.2">
      <c r="A119" s="37">
        <v>9</v>
      </c>
      <c r="B119" s="52"/>
      <c r="C119" s="53"/>
      <c r="D119" s="52"/>
      <c r="E119" s="99"/>
      <c r="F119" s="99"/>
      <c r="G119" s="101"/>
      <c r="H119" s="46" t="s">
        <v>835</v>
      </c>
      <c r="I119" s="99"/>
      <c r="J119" s="100"/>
      <c r="K119" s="99"/>
      <c r="L119" s="99"/>
      <c r="M119" s="98">
        <f>500000000-300000000</f>
        <v>200000000</v>
      </c>
      <c r="N119" s="37"/>
      <c r="O119" s="37"/>
      <c r="P119" s="37"/>
      <c r="Q119" s="37"/>
      <c r="R119" s="37"/>
      <c r="S119" s="37"/>
      <c r="T119" s="37"/>
    </row>
    <row r="120" spans="1:20" x14ac:dyDescent="0.2">
      <c r="A120" s="37"/>
      <c r="B120" s="52"/>
      <c r="C120" s="53"/>
      <c r="D120" s="52"/>
      <c r="E120" s="99"/>
      <c r="F120" s="99"/>
      <c r="G120" s="101"/>
      <c r="H120" s="46"/>
      <c r="I120" s="99"/>
      <c r="J120" s="100"/>
      <c r="K120" s="99"/>
      <c r="L120" s="99"/>
      <c r="M120" s="98"/>
      <c r="N120" s="37"/>
      <c r="O120" s="37"/>
      <c r="P120" s="37"/>
      <c r="Q120" s="37"/>
      <c r="R120" s="37"/>
      <c r="S120" s="37"/>
      <c r="T120" s="37"/>
    </row>
    <row r="121" spans="1:20" x14ac:dyDescent="0.2">
      <c r="A121" s="37"/>
      <c r="B121" s="52" t="s">
        <v>285</v>
      </c>
      <c r="C121" s="53"/>
      <c r="D121" s="52"/>
      <c r="E121" s="99"/>
      <c r="F121" s="99"/>
      <c r="G121" s="110"/>
      <c r="H121" s="45" t="s">
        <v>1421</v>
      </c>
      <c r="I121" s="109"/>
      <c r="J121" s="111"/>
      <c r="K121" s="109"/>
      <c r="L121" s="109"/>
      <c r="M121" s="115">
        <f>+M123</f>
        <v>20000000</v>
      </c>
      <c r="N121" s="37"/>
      <c r="O121" s="37"/>
      <c r="P121" s="37"/>
      <c r="Q121" s="37"/>
      <c r="R121" s="37"/>
      <c r="S121" s="37"/>
      <c r="T121" s="37"/>
    </row>
    <row r="122" spans="1:20" ht="51" x14ac:dyDescent="0.2">
      <c r="A122" s="37"/>
      <c r="B122" s="52"/>
      <c r="C122" s="53"/>
      <c r="D122" s="52"/>
      <c r="E122" s="99" t="s">
        <v>1426</v>
      </c>
      <c r="F122" s="99" t="s">
        <v>268</v>
      </c>
      <c r="G122" s="101"/>
      <c r="H122" s="46" t="s">
        <v>1423</v>
      </c>
      <c r="I122" s="99" t="s">
        <v>1424</v>
      </c>
      <c r="J122" s="100" t="s">
        <v>1425</v>
      </c>
      <c r="K122" s="99"/>
      <c r="L122" s="99"/>
      <c r="M122" s="98"/>
      <c r="N122" s="37"/>
      <c r="O122" s="37"/>
      <c r="P122" s="37"/>
      <c r="Q122" s="37"/>
      <c r="R122" s="37"/>
      <c r="S122" s="37"/>
      <c r="T122" s="37"/>
    </row>
    <row r="123" spans="1:20" ht="25.5" x14ac:dyDescent="0.2">
      <c r="A123" s="37"/>
      <c r="B123" s="52" t="s">
        <v>497</v>
      </c>
      <c r="C123" s="53"/>
      <c r="D123" s="52"/>
      <c r="E123" s="99"/>
      <c r="F123" s="99"/>
      <c r="G123" s="101"/>
      <c r="H123" s="45" t="s">
        <v>1427</v>
      </c>
      <c r="I123" s="109"/>
      <c r="J123" s="111"/>
      <c r="K123" s="109"/>
      <c r="L123" s="109"/>
      <c r="M123" s="115">
        <f>+M125</f>
        <v>20000000</v>
      </c>
      <c r="N123" s="37"/>
      <c r="O123" s="37"/>
      <c r="P123" s="37"/>
      <c r="Q123" s="37"/>
      <c r="R123" s="37"/>
      <c r="S123" s="37"/>
      <c r="T123" s="37"/>
    </row>
    <row r="124" spans="1:20" ht="76.5" x14ac:dyDescent="0.2">
      <c r="A124" s="37"/>
      <c r="B124" s="52"/>
      <c r="C124" s="53"/>
      <c r="D124" s="52"/>
      <c r="E124" s="99" t="s">
        <v>1422</v>
      </c>
      <c r="F124" s="99" t="s">
        <v>1080</v>
      </c>
      <c r="G124" s="101"/>
      <c r="H124" s="119" t="s">
        <v>1429</v>
      </c>
      <c r="I124" s="99" t="s">
        <v>1305</v>
      </c>
      <c r="J124" s="100" t="s">
        <v>1430</v>
      </c>
      <c r="K124" s="99" t="s">
        <v>1306</v>
      </c>
      <c r="L124" s="99" t="s">
        <v>1284</v>
      </c>
      <c r="M124" s="98"/>
      <c r="N124" s="37"/>
      <c r="O124" s="37"/>
      <c r="P124" s="37"/>
      <c r="Q124" s="37"/>
      <c r="R124" s="37"/>
      <c r="S124" s="37"/>
      <c r="T124" s="37"/>
    </row>
    <row r="125" spans="1:20" ht="38.25" x14ac:dyDescent="0.2">
      <c r="A125" s="37"/>
      <c r="B125" s="52"/>
      <c r="C125" s="53" t="s">
        <v>128</v>
      </c>
      <c r="D125" s="52"/>
      <c r="E125" s="99"/>
      <c r="F125" s="99"/>
      <c r="G125" s="101">
        <v>296195</v>
      </c>
      <c r="H125" s="46" t="s">
        <v>1428</v>
      </c>
      <c r="I125" s="99"/>
      <c r="J125" s="100"/>
      <c r="K125" s="99"/>
      <c r="L125" s="99"/>
      <c r="M125" s="98">
        <f>+M126</f>
        <v>20000000</v>
      </c>
      <c r="N125" s="37"/>
      <c r="O125" s="37"/>
      <c r="P125" s="37"/>
      <c r="Q125" s="37"/>
      <c r="R125" s="37"/>
      <c r="S125" s="37"/>
      <c r="T125" s="37"/>
    </row>
    <row r="126" spans="1:20" x14ac:dyDescent="0.2">
      <c r="A126" s="37"/>
      <c r="B126" s="52"/>
      <c r="C126" s="53"/>
      <c r="D126" s="52"/>
      <c r="E126" s="99"/>
      <c r="F126" s="99"/>
      <c r="G126" s="101"/>
      <c r="H126" s="46" t="s">
        <v>835</v>
      </c>
      <c r="I126" s="99"/>
      <c r="J126" s="100"/>
      <c r="K126" s="99"/>
      <c r="L126" s="99"/>
      <c r="M126" s="98">
        <v>20000000</v>
      </c>
      <c r="N126" s="37"/>
      <c r="O126" s="37"/>
      <c r="P126" s="37"/>
      <c r="Q126" s="37"/>
      <c r="R126" s="37"/>
      <c r="S126" s="37"/>
      <c r="T126" s="37"/>
    </row>
    <row r="127" spans="1:20" x14ac:dyDescent="0.2">
      <c r="A127" s="37"/>
      <c r="B127" s="52"/>
      <c r="C127" s="53"/>
      <c r="D127" s="52"/>
      <c r="E127" s="99"/>
      <c r="F127" s="99"/>
      <c r="G127" s="101"/>
      <c r="H127" s="46"/>
      <c r="I127" s="99"/>
      <c r="J127" s="100"/>
      <c r="K127" s="99"/>
      <c r="L127" s="99"/>
      <c r="M127" s="98"/>
      <c r="N127" s="37"/>
      <c r="O127" s="37"/>
      <c r="P127" s="37"/>
      <c r="Q127" s="37"/>
      <c r="R127" s="37"/>
      <c r="S127" s="37"/>
      <c r="T127" s="37"/>
    </row>
    <row r="128" spans="1:20" x14ac:dyDescent="0.2">
      <c r="A128" s="37"/>
      <c r="B128" s="52"/>
      <c r="C128" s="53"/>
      <c r="D128" s="52"/>
      <c r="E128" s="99"/>
      <c r="F128" s="99"/>
      <c r="G128" s="101"/>
      <c r="H128" s="46"/>
      <c r="I128" s="99"/>
      <c r="J128" s="100"/>
      <c r="K128" s="99"/>
      <c r="L128" s="99"/>
      <c r="M128" s="98"/>
      <c r="N128" s="37"/>
      <c r="O128" s="37"/>
      <c r="P128" s="37"/>
      <c r="Q128" s="37"/>
      <c r="R128" s="37"/>
      <c r="S128" s="37"/>
      <c r="T128" s="37"/>
    </row>
    <row r="129" spans="1:20" ht="15" x14ac:dyDescent="0.25">
      <c r="A129" s="37">
        <v>10</v>
      </c>
      <c r="B129" s="52"/>
      <c r="C129" s="53"/>
      <c r="D129" s="52"/>
      <c r="E129" s="99"/>
      <c r="F129" s="99"/>
      <c r="G129" s="101"/>
      <c r="H129" s="122" t="s">
        <v>460</v>
      </c>
      <c r="I129" s="123"/>
      <c r="J129" s="124"/>
      <c r="K129" s="123"/>
      <c r="L129" s="123"/>
      <c r="M129" s="125">
        <f>+M9+M71</f>
        <v>11737088000</v>
      </c>
      <c r="N129" s="37"/>
      <c r="O129" s="37"/>
      <c r="P129" s="37"/>
      <c r="Q129" s="37"/>
      <c r="R129" s="37"/>
      <c r="S129" s="37"/>
      <c r="T129" s="37"/>
    </row>
    <row r="130" spans="1:20" x14ac:dyDescent="0.2">
      <c r="A130" s="37"/>
      <c r="B130" s="52"/>
      <c r="C130" s="53"/>
      <c r="D130" s="52"/>
      <c r="E130" s="52"/>
      <c r="F130" s="52"/>
      <c r="G130" s="61"/>
      <c r="H130" s="42"/>
      <c r="I130" s="52"/>
      <c r="J130" s="53"/>
      <c r="K130" s="52"/>
      <c r="L130" s="52"/>
      <c r="M130" s="37"/>
      <c r="N130" s="37"/>
      <c r="O130" s="37"/>
      <c r="P130" s="37"/>
      <c r="Q130" s="37"/>
      <c r="R130" s="37"/>
      <c r="S130" s="37"/>
      <c r="T130" s="37"/>
    </row>
  </sheetData>
  <mergeCells count="1">
    <mergeCell ref="B2:M2"/>
  </mergeCells>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topLeftCell="C70" zoomScale="80" zoomScaleNormal="80" workbookViewId="0">
      <selection activeCell="F79" sqref="F79:N110"/>
    </sheetView>
  </sheetViews>
  <sheetFormatPr baseColWidth="10" defaultColWidth="11.42578125" defaultRowHeight="12.75" x14ac:dyDescent="0.2"/>
  <cols>
    <col min="1" max="6" width="11.42578125" style="32"/>
    <col min="7" max="7" width="58" style="32" customWidth="1"/>
    <col min="8" max="11" width="11.42578125" style="32"/>
    <col min="12" max="12" width="17.7109375" style="32" customWidth="1"/>
    <col min="13" max="16384" width="11.42578125" style="32"/>
  </cols>
  <sheetData>
    <row r="1" spans="1:12" ht="15.75" x14ac:dyDescent="0.2">
      <c r="A1" s="89" t="s">
        <v>1103</v>
      </c>
      <c r="B1" s="89"/>
      <c r="C1" s="89"/>
      <c r="D1" s="89"/>
      <c r="E1" s="89"/>
      <c r="F1" s="89"/>
      <c r="G1" s="89"/>
      <c r="H1" s="89"/>
      <c r="I1" s="89"/>
      <c r="J1" s="89"/>
      <c r="K1" s="89"/>
      <c r="L1" s="89"/>
    </row>
    <row r="2" spans="1:12" x14ac:dyDescent="0.2">
      <c r="A2" s="69"/>
      <c r="B2" s="70"/>
      <c r="C2" s="69"/>
      <c r="D2" s="69"/>
      <c r="E2" s="69"/>
      <c r="F2" s="69"/>
      <c r="G2" s="36"/>
      <c r="H2" s="69"/>
      <c r="I2" s="70"/>
      <c r="J2" s="69"/>
      <c r="K2" s="69"/>
    </row>
    <row r="3" spans="1:12" ht="126" customHeight="1" x14ac:dyDescent="0.2">
      <c r="A3" s="71" t="s">
        <v>1100</v>
      </c>
      <c r="B3" s="71" t="s">
        <v>1092</v>
      </c>
      <c r="C3" s="35" t="s">
        <v>1091</v>
      </c>
      <c r="D3" s="71" t="s">
        <v>1097</v>
      </c>
      <c r="E3" s="35" t="s">
        <v>1098</v>
      </c>
      <c r="F3" s="35" t="s">
        <v>1093</v>
      </c>
      <c r="G3" s="71" t="s">
        <v>409</v>
      </c>
      <c r="H3" s="71" t="s">
        <v>1094</v>
      </c>
      <c r="I3" s="71" t="s">
        <v>1095</v>
      </c>
      <c r="J3" s="71" t="s">
        <v>1104</v>
      </c>
      <c r="K3" s="71" t="s">
        <v>1096</v>
      </c>
      <c r="L3" s="71" t="s">
        <v>1099</v>
      </c>
    </row>
    <row r="4" spans="1:12" ht="15" customHeight="1" x14ac:dyDescent="0.2">
      <c r="A4" s="69"/>
      <c r="B4" s="70"/>
      <c r="C4" s="69"/>
      <c r="D4" s="69"/>
      <c r="E4" s="69"/>
      <c r="F4" s="69"/>
      <c r="G4" s="36"/>
      <c r="H4" s="69"/>
      <c r="I4" s="70"/>
      <c r="J4" s="69"/>
      <c r="K4" s="69"/>
    </row>
    <row r="5" spans="1:12" x14ac:dyDescent="0.2">
      <c r="A5" s="52"/>
      <c r="B5" s="53"/>
      <c r="C5" s="52"/>
      <c r="D5" s="52"/>
      <c r="E5" s="52"/>
      <c r="F5" s="61"/>
      <c r="G5" s="42"/>
      <c r="H5" s="52"/>
      <c r="I5" s="53"/>
      <c r="J5" s="52"/>
      <c r="K5" s="52"/>
      <c r="L5" s="37"/>
    </row>
    <row r="6" spans="1:12" ht="15.75" x14ac:dyDescent="0.2">
      <c r="A6" s="52"/>
      <c r="B6" s="53"/>
      <c r="C6" s="52"/>
      <c r="D6" s="52"/>
      <c r="E6" s="52"/>
      <c r="F6" s="61"/>
      <c r="G6" s="51" t="s">
        <v>965</v>
      </c>
      <c r="H6" s="52"/>
      <c r="I6" s="53"/>
      <c r="J6" s="52"/>
      <c r="K6" s="52"/>
      <c r="L6" s="54"/>
    </row>
    <row r="7" spans="1:12" ht="31.5" x14ac:dyDescent="0.2">
      <c r="A7" s="52"/>
      <c r="B7" s="53"/>
      <c r="C7" s="52"/>
      <c r="D7" s="52"/>
      <c r="E7" s="52"/>
      <c r="F7" s="61"/>
      <c r="G7" s="51" t="s">
        <v>737</v>
      </c>
      <c r="H7" s="52"/>
      <c r="I7" s="53"/>
      <c r="J7" s="52"/>
      <c r="K7" s="52"/>
      <c r="L7" s="54"/>
    </row>
    <row r="8" spans="1:12" x14ac:dyDescent="0.2">
      <c r="A8" s="52"/>
      <c r="B8" s="53"/>
      <c r="C8" s="52"/>
      <c r="D8" s="52"/>
      <c r="E8" s="52"/>
      <c r="F8" s="61"/>
      <c r="G8" s="42"/>
      <c r="H8" s="52"/>
      <c r="I8" s="53"/>
      <c r="J8" s="52"/>
      <c r="K8" s="52"/>
      <c r="L8" s="54"/>
    </row>
    <row r="9" spans="1:12" x14ac:dyDescent="0.2">
      <c r="A9" s="52" t="s">
        <v>301</v>
      </c>
      <c r="B9" s="53"/>
      <c r="C9" s="52"/>
      <c r="D9" s="52"/>
      <c r="E9" s="52"/>
      <c r="F9" s="61"/>
      <c r="G9" s="56" t="s">
        <v>981</v>
      </c>
      <c r="H9" s="52"/>
      <c r="I9" s="53"/>
      <c r="J9" s="52"/>
      <c r="K9" s="52"/>
      <c r="L9" s="38">
        <f>+L10</f>
        <v>13616400000</v>
      </c>
    </row>
    <row r="10" spans="1:12" ht="25.5" x14ac:dyDescent="0.2">
      <c r="A10" s="52" t="s">
        <v>114</v>
      </c>
      <c r="B10" s="53"/>
      <c r="C10" s="52"/>
      <c r="D10" s="52"/>
      <c r="E10" s="52"/>
      <c r="F10" s="61"/>
      <c r="G10" s="56" t="s">
        <v>457</v>
      </c>
      <c r="H10" s="52"/>
      <c r="I10" s="53"/>
      <c r="J10" s="52"/>
      <c r="K10" s="52"/>
      <c r="L10" s="38">
        <f>+L12</f>
        <v>13616400000</v>
      </c>
    </row>
    <row r="11" spans="1:12" ht="25.5" x14ac:dyDescent="0.2">
      <c r="A11" s="52"/>
      <c r="B11" s="53"/>
      <c r="C11" s="52"/>
      <c r="D11" s="55">
        <v>257</v>
      </c>
      <c r="E11" s="52" t="s">
        <v>268</v>
      </c>
      <c r="F11" s="61"/>
      <c r="G11" s="42" t="s">
        <v>155</v>
      </c>
      <c r="H11" s="55">
        <v>116</v>
      </c>
      <c r="I11" s="53" t="s">
        <v>286</v>
      </c>
      <c r="J11" s="55">
        <v>116</v>
      </c>
      <c r="K11" s="52" t="s">
        <v>1167</v>
      </c>
      <c r="L11" s="54"/>
    </row>
    <row r="12" spans="1:12" x14ac:dyDescent="0.2">
      <c r="A12" s="52" t="s">
        <v>857</v>
      </c>
      <c r="B12" s="53"/>
      <c r="C12" s="52"/>
      <c r="D12" s="52"/>
      <c r="E12" s="52"/>
      <c r="F12" s="61"/>
      <c r="G12" s="56" t="s">
        <v>288</v>
      </c>
      <c r="H12" s="52"/>
      <c r="I12" s="53"/>
      <c r="J12" s="52"/>
      <c r="K12" s="52"/>
      <c r="L12" s="38">
        <f>+L20+L23+L27+L25</f>
        <v>13616400000</v>
      </c>
    </row>
    <row r="13" spans="1:12" ht="25.5" x14ac:dyDescent="0.2">
      <c r="A13" s="52"/>
      <c r="B13" s="53"/>
      <c r="C13" s="52" t="s">
        <v>410</v>
      </c>
      <c r="D13" s="55">
        <v>258</v>
      </c>
      <c r="E13" s="52" t="s">
        <v>1080</v>
      </c>
      <c r="F13" s="61"/>
      <c r="G13" s="42" t="s">
        <v>817</v>
      </c>
      <c r="H13" s="55">
        <v>500</v>
      </c>
      <c r="I13" s="53" t="s">
        <v>951</v>
      </c>
      <c r="J13" s="55">
        <v>160</v>
      </c>
      <c r="K13" s="52" t="s">
        <v>1367</v>
      </c>
      <c r="L13" s="54"/>
    </row>
    <row r="14" spans="1:12" ht="63.75" x14ac:dyDescent="0.2">
      <c r="A14" s="52"/>
      <c r="B14" s="53"/>
      <c r="C14" s="52" t="s">
        <v>574</v>
      </c>
      <c r="D14" s="52">
        <v>261</v>
      </c>
      <c r="E14" s="55" t="s">
        <v>1080</v>
      </c>
      <c r="F14" s="52"/>
      <c r="G14" s="90" t="s">
        <v>899</v>
      </c>
      <c r="H14" s="53">
        <v>6</v>
      </c>
      <c r="I14" s="55" t="s">
        <v>765</v>
      </c>
      <c r="J14" s="55">
        <v>3</v>
      </c>
      <c r="K14" s="52" t="s">
        <v>1025</v>
      </c>
      <c r="L14" s="54"/>
    </row>
    <row r="15" spans="1:12" ht="51" x14ac:dyDescent="0.2">
      <c r="A15" s="52"/>
      <c r="B15" s="53"/>
      <c r="C15" s="52"/>
      <c r="D15" s="52">
        <v>262</v>
      </c>
      <c r="E15" s="55" t="s">
        <v>1080</v>
      </c>
      <c r="F15" s="52"/>
      <c r="G15" s="42" t="s">
        <v>1149</v>
      </c>
      <c r="H15" s="53">
        <v>25</v>
      </c>
      <c r="I15" s="55" t="s">
        <v>440</v>
      </c>
      <c r="J15" s="55">
        <v>0</v>
      </c>
      <c r="K15" s="52" t="s">
        <v>1180</v>
      </c>
      <c r="L15" s="54"/>
    </row>
    <row r="16" spans="1:12" ht="25.5" x14ac:dyDescent="0.2">
      <c r="A16" s="52"/>
      <c r="B16" s="53"/>
      <c r="C16" s="52" t="s">
        <v>1037</v>
      </c>
      <c r="D16" s="52">
        <v>263</v>
      </c>
      <c r="E16" s="55" t="s">
        <v>1080</v>
      </c>
      <c r="F16" s="52"/>
      <c r="G16" s="42" t="s">
        <v>135</v>
      </c>
      <c r="H16" s="53">
        <v>50</v>
      </c>
      <c r="I16" s="55" t="s">
        <v>130</v>
      </c>
      <c r="J16" s="55">
        <v>47</v>
      </c>
      <c r="K16" s="52" t="s">
        <v>1195</v>
      </c>
      <c r="L16" s="54"/>
    </row>
    <row r="17" spans="1:12" x14ac:dyDescent="0.2">
      <c r="A17" s="52"/>
      <c r="B17" s="53"/>
      <c r="C17" s="52" t="s">
        <v>407</v>
      </c>
      <c r="D17" s="52" t="s">
        <v>1370</v>
      </c>
      <c r="E17" s="55" t="s">
        <v>1080</v>
      </c>
      <c r="F17" s="52"/>
      <c r="G17" s="42" t="s">
        <v>1371</v>
      </c>
      <c r="H17" s="53" t="s">
        <v>1180</v>
      </c>
      <c r="I17" s="55" t="s">
        <v>130</v>
      </c>
      <c r="J17" s="55">
        <v>1</v>
      </c>
      <c r="K17" s="52" t="s">
        <v>1025</v>
      </c>
      <c r="L17" s="54"/>
    </row>
    <row r="18" spans="1:12" ht="51" x14ac:dyDescent="0.2">
      <c r="A18" s="52"/>
      <c r="B18" s="53"/>
      <c r="C18" s="52" t="s">
        <v>574</v>
      </c>
      <c r="D18" s="52">
        <v>268</v>
      </c>
      <c r="E18" s="55" t="s">
        <v>1080</v>
      </c>
      <c r="F18" s="52"/>
      <c r="G18" s="42" t="s">
        <v>1147</v>
      </c>
      <c r="H18" s="53">
        <v>21</v>
      </c>
      <c r="I18" s="55" t="s">
        <v>873</v>
      </c>
      <c r="J18" s="55">
        <v>2</v>
      </c>
      <c r="K18" s="52" t="s">
        <v>1180</v>
      </c>
      <c r="L18" s="54"/>
    </row>
    <row r="19" spans="1:12" x14ac:dyDescent="0.2">
      <c r="A19" s="52"/>
      <c r="B19" s="53"/>
      <c r="L19" s="54"/>
    </row>
    <row r="20" spans="1:12" ht="51" x14ac:dyDescent="0.2">
      <c r="A20" s="52"/>
      <c r="B20" s="53" t="s">
        <v>10</v>
      </c>
      <c r="C20" s="52"/>
      <c r="D20" s="52"/>
      <c r="E20" s="52"/>
      <c r="F20" s="195">
        <v>295947</v>
      </c>
      <c r="G20" s="80" t="s">
        <v>688</v>
      </c>
      <c r="H20" s="189"/>
      <c r="I20" s="190"/>
      <c r="J20" s="189"/>
      <c r="K20" s="189"/>
      <c r="L20" s="183">
        <f>+L21+L22</f>
        <v>6677000000</v>
      </c>
    </row>
    <row r="21" spans="1:12" x14ac:dyDescent="0.2">
      <c r="A21" s="52"/>
      <c r="B21" s="53"/>
      <c r="C21" s="52"/>
      <c r="D21" s="52"/>
      <c r="E21" s="52"/>
      <c r="F21" s="195"/>
      <c r="G21" s="80" t="s">
        <v>785</v>
      </c>
      <c r="H21" s="189"/>
      <c r="I21" s="190"/>
      <c r="J21" s="189"/>
      <c r="K21" s="189"/>
      <c r="L21" s="183">
        <v>969571000</v>
      </c>
    </row>
    <row r="22" spans="1:12" x14ac:dyDescent="0.2">
      <c r="A22" s="52"/>
      <c r="B22" s="53"/>
      <c r="C22" s="52"/>
      <c r="D22" s="52"/>
      <c r="E22" s="52"/>
      <c r="F22" s="195"/>
      <c r="G22" s="80" t="s">
        <v>835</v>
      </c>
      <c r="H22" s="189"/>
      <c r="I22" s="190"/>
      <c r="J22" s="189"/>
      <c r="K22" s="189"/>
      <c r="L22" s="183">
        <f>15177000000-969571000-8000000000-500000000</f>
        <v>5707429000</v>
      </c>
    </row>
    <row r="23" spans="1:12" ht="38.25" x14ac:dyDescent="0.2">
      <c r="A23" s="52"/>
      <c r="B23" s="53" t="s">
        <v>10</v>
      </c>
      <c r="C23" s="52"/>
      <c r="D23" s="52"/>
      <c r="E23" s="52"/>
      <c r="F23" s="195">
        <v>296111</v>
      </c>
      <c r="G23" s="80" t="s">
        <v>322</v>
      </c>
      <c r="H23" s="189"/>
      <c r="I23" s="190"/>
      <c r="J23" s="189"/>
      <c r="K23" s="189"/>
      <c r="L23" s="183">
        <f>+L24</f>
        <v>4702000000</v>
      </c>
    </row>
    <row r="24" spans="1:12" x14ac:dyDescent="0.2">
      <c r="A24" s="52"/>
      <c r="B24" s="53"/>
      <c r="C24" s="52"/>
      <c r="D24" s="52"/>
      <c r="E24" s="52"/>
      <c r="F24" s="195"/>
      <c r="G24" s="80" t="s">
        <v>785</v>
      </c>
      <c r="H24" s="189"/>
      <c r="I24" s="190"/>
      <c r="J24" s="189"/>
      <c r="K24" s="189"/>
      <c r="L24" s="183">
        <f>3702000000+1000000000</f>
        <v>4702000000</v>
      </c>
    </row>
    <row r="25" spans="1:12" ht="51" x14ac:dyDescent="0.2">
      <c r="A25" s="52"/>
      <c r="B25" s="53" t="s">
        <v>10</v>
      </c>
      <c r="C25" s="52"/>
      <c r="D25" s="52"/>
      <c r="E25" s="52"/>
      <c r="F25" s="195">
        <v>296185</v>
      </c>
      <c r="G25" s="80" t="s">
        <v>1372</v>
      </c>
      <c r="H25" s="189"/>
      <c r="I25" s="190"/>
      <c r="J25" s="189"/>
      <c r="K25" s="189"/>
      <c r="L25" s="183">
        <f>+L26</f>
        <v>300000000</v>
      </c>
    </row>
    <row r="26" spans="1:12" x14ac:dyDescent="0.2">
      <c r="A26" s="52"/>
      <c r="B26" s="53"/>
      <c r="C26" s="52"/>
      <c r="D26" s="52"/>
      <c r="E26" s="52"/>
      <c r="F26" s="195"/>
      <c r="G26" s="80" t="s">
        <v>835</v>
      </c>
      <c r="H26" s="189"/>
      <c r="I26" s="190"/>
      <c r="J26" s="189"/>
      <c r="K26" s="189"/>
      <c r="L26" s="183">
        <f>1500000000-1000000000-200000000</f>
        <v>300000000</v>
      </c>
    </row>
    <row r="27" spans="1:12" ht="76.5" x14ac:dyDescent="0.2">
      <c r="A27" s="52"/>
      <c r="B27" s="53" t="s">
        <v>10</v>
      </c>
      <c r="C27" s="52"/>
      <c r="D27" s="52"/>
      <c r="E27" s="52"/>
      <c r="F27" s="195">
        <v>296100</v>
      </c>
      <c r="G27" s="176" t="s">
        <v>936</v>
      </c>
      <c r="H27" s="189"/>
      <c r="I27" s="190"/>
      <c r="J27" s="189"/>
      <c r="K27" s="189"/>
      <c r="L27" s="183">
        <f>+L28</f>
        <v>1937400000</v>
      </c>
    </row>
    <row r="28" spans="1:12" x14ac:dyDescent="0.2">
      <c r="A28" s="52"/>
      <c r="B28" s="53"/>
      <c r="C28" s="52"/>
      <c r="D28" s="52"/>
      <c r="E28" s="52"/>
      <c r="F28" s="195"/>
      <c r="G28" s="80" t="s">
        <v>835</v>
      </c>
      <c r="H28" s="189"/>
      <c r="I28" s="190"/>
      <c r="J28" s="189"/>
      <c r="K28" s="189"/>
      <c r="L28" s="183">
        <f>137400000+1300000000+500000000</f>
        <v>1937400000</v>
      </c>
    </row>
    <row r="29" spans="1:12" x14ac:dyDescent="0.2">
      <c r="A29" s="52"/>
      <c r="B29" s="53"/>
      <c r="C29" s="52"/>
      <c r="D29" s="52"/>
      <c r="E29" s="52"/>
      <c r="F29" s="195"/>
      <c r="G29" s="80"/>
      <c r="H29" s="189"/>
      <c r="I29" s="190"/>
      <c r="J29" s="189"/>
      <c r="K29" s="189"/>
      <c r="L29" s="183"/>
    </row>
    <row r="30" spans="1:12" ht="25.5" x14ac:dyDescent="0.2">
      <c r="A30" s="52" t="s">
        <v>422</v>
      </c>
      <c r="B30" s="53"/>
      <c r="C30" s="52"/>
      <c r="D30" s="52"/>
      <c r="E30" s="52"/>
      <c r="F30" s="195"/>
      <c r="G30" s="173" t="s">
        <v>381</v>
      </c>
      <c r="H30" s="189"/>
      <c r="I30" s="190"/>
      <c r="J30" s="189"/>
      <c r="K30" s="189"/>
      <c r="L30" s="91">
        <f>+L31</f>
        <v>145319530227</v>
      </c>
    </row>
    <row r="31" spans="1:12" ht="25.5" x14ac:dyDescent="0.2">
      <c r="A31" s="52" t="s">
        <v>285</v>
      </c>
      <c r="B31" s="53"/>
      <c r="C31" s="52"/>
      <c r="D31" s="52"/>
      <c r="E31" s="52"/>
      <c r="F31" s="195"/>
      <c r="G31" s="173" t="s">
        <v>217</v>
      </c>
      <c r="H31" s="189"/>
      <c r="I31" s="190"/>
      <c r="J31" s="189"/>
      <c r="K31" s="189"/>
      <c r="L31" s="91">
        <f>+L34+L70</f>
        <v>145319530227</v>
      </c>
    </row>
    <row r="32" spans="1:12" ht="38.25" x14ac:dyDescent="0.2">
      <c r="A32" s="52"/>
      <c r="B32" s="53"/>
      <c r="C32" s="52"/>
      <c r="D32" s="55">
        <v>449</v>
      </c>
      <c r="E32" s="52" t="s">
        <v>268</v>
      </c>
      <c r="F32" s="195"/>
      <c r="G32" s="80" t="s">
        <v>863</v>
      </c>
      <c r="H32" s="196">
        <v>20</v>
      </c>
      <c r="I32" s="190" t="s">
        <v>440</v>
      </c>
      <c r="J32" s="222">
        <v>0.38</v>
      </c>
      <c r="K32" s="189" t="s">
        <v>1373</v>
      </c>
      <c r="L32" s="91"/>
    </row>
    <row r="33" spans="1:12" ht="38.25" x14ac:dyDescent="0.2">
      <c r="A33" s="52"/>
      <c r="B33" s="53"/>
      <c r="C33" s="52"/>
      <c r="D33" s="55">
        <v>450</v>
      </c>
      <c r="E33" s="52" t="s">
        <v>268</v>
      </c>
      <c r="F33" s="195"/>
      <c r="G33" s="80" t="s">
        <v>626</v>
      </c>
      <c r="H33" s="196">
        <v>3</v>
      </c>
      <c r="I33" s="190" t="s">
        <v>211</v>
      </c>
      <c r="J33" s="196"/>
      <c r="K33" s="189"/>
      <c r="L33" s="194"/>
    </row>
    <row r="34" spans="1:12" x14ac:dyDescent="0.2">
      <c r="A34" s="52" t="s">
        <v>857</v>
      </c>
      <c r="B34" s="53"/>
      <c r="C34" s="52"/>
      <c r="D34" s="52"/>
      <c r="E34" s="52"/>
      <c r="F34" s="195"/>
      <c r="G34" s="173" t="s">
        <v>287</v>
      </c>
      <c r="H34" s="189"/>
      <c r="I34" s="190"/>
      <c r="J34" s="189"/>
      <c r="K34" s="189"/>
      <c r="L34" s="91">
        <f>+L46+L48+L50+L60+L62+L66+L54+L58+L64+L68</f>
        <v>144819530227</v>
      </c>
    </row>
    <row r="35" spans="1:12" ht="25.5" x14ac:dyDescent="0.2">
      <c r="A35" s="52"/>
      <c r="B35" s="53"/>
      <c r="C35" s="52" t="s">
        <v>202</v>
      </c>
      <c r="D35" s="55">
        <v>451</v>
      </c>
      <c r="E35" s="52" t="s">
        <v>1080</v>
      </c>
      <c r="F35" s="195"/>
      <c r="G35" s="80" t="s">
        <v>398</v>
      </c>
      <c r="H35" s="196">
        <v>250</v>
      </c>
      <c r="I35" s="190" t="s">
        <v>328</v>
      </c>
      <c r="J35" s="196">
        <v>238</v>
      </c>
      <c r="K35" s="189" t="s">
        <v>1376</v>
      </c>
      <c r="L35" s="91"/>
    </row>
    <row r="36" spans="1:12" ht="25.5" x14ac:dyDescent="0.2">
      <c r="A36" s="52"/>
      <c r="B36" s="53"/>
      <c r="C36" s="52" t="s">
        <v>603</v>
      </c>
      <c r="D36" s="55">
        <v>452</v>
      </c>
      <c r="E36" s="52" t="s">
        <v>1080</v>
      </c>
      <c r="F36" s="195"/>
      <c r="G36" s="80" t="s">
        <v>926</v>
      </c>
      <c r="H36" s="196">
        <v>3000</v>
      </c>
      <c r="I36" s="190" t="s">
        <v>328</v>
      </c>
      <c r="J36" s="196">
        <v>831</v>
      </c>
      <c r="K36" s="189" t="s">
        <v>1377</v>
      </c>
      <c r="L36" s="91"/>
    </row>
    <row r="37" spans="1:12" ht="38.25" x14ac:dyDescent="0.2">
      <c r="A37" s="52"/>
      <c r="B37" s="53"/>
      <c r="C37" s="52" t="s">
        <v>22</v>
      </c>
      <c r="D37" s="55">
        <v>453</v>
      </c>
      <c r="E37" s="52" t="s">
        <v>1080</v>
      </c>
      <c r="F37" s="195"/>
      <c r="G37" s="80" t="s">
        <v>302</v>
      </c>
      <c r="H37" s="196">
        <v>3000</v>
      </c>
      <c r="I37" s="190" t="s">
        <v>328</v>
      </c>
      <c r="J37" s="196">
        <v>629</v>
      </c>
      <c r="K37" s="189" t="s">
        <v>1378</v>
      </c>
      <c r="L37" s="91"/>
    </row>
    <row r="38" spans="1:12" ht="25.5" x14ac:dyDescent="0.2">
      <c r="A38" s="52"/>
      <c r="B38" s="53"/>
      <c r="C38" s="52" t="s">
        <v>1383</v>
      </c>
      <c r="D38" s="55">
        <v>454</v>
      </c>
      <c r="E38" s="52" t="s">
        <v>1080</v>
      </c>
      <c r="F38" s="195"/>
      <c r="G38" s="80" t="s">
        <v>1155</v>
      </c>
      <c r="H38" s="196">
        <v>130000</v>
      </c>
      <c r="I38" s="190" t="s">
        <v>843</v>
      </c>
      <c r="J38" s="196">
        <v>19977</v>
      </c>
      <c r="K38" s="189" t="s">
        <v>1382</v>
      </c>
      <c r="L38" s="91"/>
    </row>
    <row r="39" spans="1:12" ht="25.5" x14ac:dyDescent="0.2">
      <c r="A39" s="52"/>
      <c r="B39" s="53"/>
      <c r="C39" s="52" t="s">
        <v>603</v>
      </c>
      <c r="D39" s="55">
        <v>455</v>
      </c>
      <c r="E39" s="52" t="s">
        <v>1080</v>
      </c>
      <c r="F39" s="195"/>
      <c r="G39" s="80" t="s">
        <v>982</v>
      </c>
      <c r="H39" s="196">
        <v>100000</v>
      </c>
      <c r="I39" s="190" t="s">
        <v>843</v>
      </c>
      <c r="J39" s="196">
        <v>3751</v>
      </c>
      <c r="K39" s="189" t="s">
        <v>1381</v>
      </c>
      <c r="L39" s="91"/>
    </row>
    <row r="40" spans="1:12" ht="25.5" x14ac:dyDescent="0.2">
      <c r="A40" s="52"/>
      <c r="B40" s="53"/>
      <c r="C40" s="52" t="s">
        <v>115</v>
      </c>
      <c r="D40" s="55">
        <v>456</v>
      </c>
      <c r="E40" s="52" t="s">
        <v>1080</v>
      </c>
      <c r="F40" s="195"/>
      <c r="G40" s="80" t="s">
        <v>196</v>
      </c>
      <c r="H40" s="196">
        <v>8000</v>
      </c>
      <c r="I40" s="190" t="s">
        <v>843</v>
      </c>
      <c r="J40" s="196">
        <v>9053</v>
      </c>
      <c r="K40" s="189" t="s">
        <v>1374</v>
      </c>
      <c r="L40" s="194"/>
    </row>
    <row r="41" spans="1:12" ht="25.5" x14ac:dyDescent="0.2">
      <c r="A41" s="55"/>
      <c r="B41" s="52"/>
      <c r="C41" s="61" t="s">
        <v>115</v>
      </c>
      <c r="D41" s="55">
        <v>457</v>
      </c>
      <c r="E41" s="55" t="s">
        <v>1080</v>
      </c>
      <c r="F41" s="190"/>
      <c r="G41" s="80" t="s">
        <v>1153</v>
      </c>
      <c r="H41" s="196">
        <v>170</v>
      </c>
      <c r="I41" s="189" t="s">
        <v>1154</v>
      </c>
      <c r="J41" s="195">
        <v>106</v>
      </c>
      <c r="K41" s="190" t="s">
        <v>1227</v>
      </c>
      <c r="L41" s="190"/>
    </row>
    <row r="42" spans="1:12" ht="25.5" x14ac:dyDescent="0.2">
      <c r="A42" s="52"/>
      <c r="B42" s="53"/>
      <c r="C42" s="52" t="s">
        <v>777</v>
      </c>
      <c r="D42" s="55">
        <v>458</v>
      </c>
      <c r="E42" s="52" t="s">
        <v>1080</v>
      </c>
      <c r="F42" s="195"/>
      <c r="G42" s="80" t="s">
        <v>498</v>
      </c>
      <c r="H42" s="196">
        <v>116</v>
      </c>
      <c r="I42" s="190" t="s">
        <v>286</v>
      </c>
      <c r="J42" s="196">
        <v>113</v>
      </c>
      <c r="K42" s="189" t="s">
        <v>422</v>
      </c>
      <c r="L42" s="194"/>
    </row>
    <row r="43" spans="1:12" ht="38.25" x14ac:dyDescent="0.2">
      <c r="A43" s="52"/>
      <c r="B43" s="53"/>
      <c r="C43" s="52" t="s">
        <v>603</v>
      </c>
      <c r="D43" s="55">
        <v>459</v>
      </c>
      <c r="E43" s="52" t="s">
        <v>1380</v>
      </c>
      <c r="F43" s="195"/>
      <c r="G43" s="80" t="s">
        <v>625</v>
      </c>
      <c r="H43" s="196">
        <v>3</v>
      </c>
      <c r="I43" s="190" t="s">
        <v>129</v>
      </c>
      <c r="J43" s="196">
        <v>3</v>
      </c>
      <c r="K43" s="189" t="s">
        <v>422</v>
      </c>
      <c r="L43" s="194"/>
    </row>
    <row r="44" spans="1:12" ht="38.25" x14ac:dyDescent="0.2">
      <c r="A44" s="52"/>
      <c r="B44" s="53"/>
      <c r="C44" s="52" t="s">
        <v>585</v>
      </c>
      <c r="D44" s="55">
        <v>460</v>
      </c>
      <c r="E44" s="52" t="s">
        <v>1080</v>
      </c>
      <c r="F44" s="195"/>
      <c r="G44" s="80" t="s">
        <v>555</v>
      </c>
      <c r="H44" s="196">
        <v>6000</v>
      </c>
      <c r="I44" s="190" t="s">
        <v>843</v>
      </c>
      <c r="J44" s="196">
        <v>0</v>
      </c>
      <c r="K44" s="189" t="s">
        <v>1375</v>
      </c>
      <c r="L44" s="194"/>
    </row>
    <row r="45" spans="1:12" x14ac:dyDescent="0.2">
      <c r="A45" s="52"/>
      <c r="B45" s="53"/>
      <c r="F45" s="175"/>
      <c r="G45" s="175"/>
      <c r="H45" s="175"/>
      <c r="I45" s="175"/>
      <c r="J45" s="175"/>
      <c r="K45" s="175"/>
      <c r="L45" s="194"/>
    </row>
    <row r="46" spans="1:12" ht="63.75" x14ac:dyDescent="0.2">
      <c r="A46" s="52"/>
      <c r="B46" s="53" t="s">
        <v>10</v>
      </c>
      <c r="C46" s="52"/>
      <c r="D46" s="52"/>
      <c r="E46" s="52"/>
      <c r="F46" s="195">
        <v>296059</v>
      </c>
      <c r="G46" s="80" t="s">
        <v>848</v>
      </c>
      <c r="H46" s="189"/>
      <c r="I46" s="190"/>
      <c r="J46" s="189"/>
      <c r="K46" s="189"/>
      <c r="L46" s="183">
        <f>+L47</f>
        <v>1000000000</v>
      </c>
    </row>
    <row r="47" spans="1:12" x14ac:dyDescent="0.2">
      <c r="A47" s="52"/>
      <c r="B47" s="53"/>
      <c r="C47" s="52"/>
      <c r="D47" s="52"/>
      <c r="E47" s="52"/>
      <c r="F47" s="195"/>
      <c r="G47" s="80" t="s">
        <v>835</v>
      </c>
      <c r="H47" s="189"/>
      <c r="I47" s="190"/>
      <c r="J47" s="189"/>
      <c r="K47" s="189"/>
      <c r="L47" s="183">
        <f>2000000000-1000000000</f>
        <v>1000000000</v>
      </c>
    </row>
    <row r="48" spans="1:12" ht="51" x14ac:dyDescent="0.2">
      <c r="A48" s="52"/>
      <c r="B48" s="53" t="s">
        <v>10</v>
      </c>
      <c r="C48" s="52"/>
      <c r="D48" s="52"/>
      <c r="E48" s="52"/>
      <c r="F48" s="195">
        <v>296060</v>
      </c>
      <c r="G48" s="80" t="s">
        <v>451</v>
      </c>
      <c r="H48" s="189"/>
      <c r="I48" s="190"/>
      <c r="J48" s="189"/>
      <c r="K48" s="189"/>
      <c r="L48" s="183">
        <f>+L49</f>
        <v>2016604227</v>
      </c>
    </row>
    <row r="49" spans="1:12" x14ac:dyDescent="0.2">
      <c r="A49" s="52"/>
      <c r="B49" s="53"/>
      <c r="C49" s="52"/>
      <c r="D49" s="52"/>
      <c r="E49" s="52"/>
      <c r="F49" s="195"/>
      <c r="G49" s="80" t="s">
        <v>835</v>
      </c>
      <c r="H49" s="189"/>
      <c r="I49" s="190"/>
      <c r="J49" s="189"/>
      <c r="K49" s="189"/>
      <c r="L49" s="183">
        <f>7000000000-2000000000-1983395773-1000000000</f>
        <v>2016604227</v>
      </c>
    </row>
    <row r="50" spans="1:12" ht="76.5" x14ac:dyDescent="0.2">
      <c r="A50" s="52"/>
      <c r="B50" s="53" t="s">
        <v>1379</v>
      </c>
      <c r="C50" s="52"/>
      <c r="D50" s="52"/>
      <c r="E50" s="52"/>
      <c r="F50" s="195">
        <v>296057</v>
      </c>
      <c r="G50" s="80" t="s">
        <v>1310</v>
      </c>
      <c r="H50" s="189"/>
      <c r="I50" s="190"/>
      <c r="J50" s="189"/>
      <c r="K50" s="189"/>
      <c r="L50" s="183">
        <f>SUM(L51:L53)</f>
        <v>105831202443</v>
      </c>
    </row>
    <row r="51" spans="1:12" x14ac:dyDescent="0.2">
      <c r="A51" s="52"/>
      <c r="B51" s="53"/>
      <c r="C51" s="52"/>
      <c r="D51" s="52"/>
      <c r="E51" s="52"/>
      <c r="F51" s="195"/>
      <c r="G51" s="80" t="s">
        <v>88</v>
      </c>
      <c r="H51" s="189"/>
      <c r="I51" s="190"/>
      <c r="J51" s="189"/>
      <c r="K51" s="189"/>
      <c r="L51" s="183">
        <v>178131000</v>
      </c>
    </row>
    <row r="52" spans="1:12" x14ac:dyDescent="0.2">
      <c r="A52" s="52"/>
      <c r="B52" s="53"/>
      <c r="C52" s="52"/>
      <c r="D52" s="52"/>
      <c r="E52" s="52"/>
      <c r="F52" s="195"/>
      <c r="G52" s="80" t="s">
        <v>928</v>
      </c>
      <c r="H52" s="189"/>
      <c r="I52" s="190"/>
      <c r="J52" s="189"/>
      <c r="K52" s="189"/>
      <c r="L52" s="183">
        <f>28750000000+6479400000+15118600000+5705100000+13311900000+6522000000+12351000000-83584928557+6000000000</f>
        <v>10653071443</v>
      </c>
    </row>
    <row r="53" spans="1:12" x14ac:dyDescent="0.2">
      <c r="A53" s="52"/>
      <c r="B53" s="53"/>
      <c r="C53" s="52"/>
      <c r="D53" s="52"/>
      <c r="E53" s="52"/>
      <c r="F53" s="195"/>
      <c r="G53" s="80" t="s">
        <v>1114</v>
      </c>
      <c r="H53" s="189"/>
      <c r="I53" s="190"/>
      <c r="J53" s="189"/>
      <c r="K53" s="189"/>
      <c r="L53" s="183">
        <f>4016640350+7398431093+83584928557</f>
        <v>95000000000</v>
      </c>
    </row>
    <row r="54" spans="1:12" ht="51" x14ac:dyDescent="0.2">
      <c r="A54" s="52"/>
      <c r="B54" s="53" t="s">
        <v>10</v>
      </c>
      <c r="C54" s="52"/>
      <c r="D54" s="52"/>
      <c r="E54" s="52"/>
      <c r="F54" s="195">
        <v>296057</v>
      </c>
      <c r="G54" s="80" t="s">
        <v>1384</v>
      </c>
      <c r="H54" s="189"/>
      <c r="I54" s="190"/>
      <c r="J54" s="189"/>
      <c r="K54" s="189"/>
      <c r="L54" s="183">
        <f>+L57+L56+L55</f>
        <v>19423703318</v>
      </c>
    </row>
    <row r="55" spans="1:12" x14ac:dyDescent="0.2">
      <c r="A55" s="52"/>
      <c r="B55" s="53"/>
      <c r="C55" s="52"/>
      <c r="D55" s="52"/>
      <c r="E55" s="52"/>
      <c r="F55" s="195"/>
      <c r="G55" s="80" t="s">
        <v>1526</v>
      </c>
      <c r="H55" s="189"/>
      <c r="I55" s="190"/>
      <c r="J55" s="189"/>
      <c r="K55" s="189"/>
      <c r="L55" s="183">
        <v>421423000</v>
      </c>
    </row>
    <row r="56" spans="1:12" x14ac:dyDescent="0.2">
      <c r="A56" s="52"/>
      <c r="B56" s="53"/>
      <c r="C56" s="52"/>
      <c r="D56" s="52"/>
      <c r="E56" s="52"/>
      <c r="F56" s="195"/>
      <c r="G56" s="80" t="s">
        <v>835</v>
      </c>
      <c r="H56" s="189"/>
      <c r="I56" s="190"/>
      <c r="J56" s="189"/>
      <c r="K56" s="189"/>
      <c r="L56" s="183">
        <f>6853000000-1000000000+8873872000</f>
        <v>14726872000</v>
      </c>
    </row>
    <row r="57" spans="1:12" x14ac:dyDescent="0.2">
      <c r="A57" s="52"/>
      <c r="B57" s="53"/>
      <c r="C57" s="52"/>
      <c r="D57" s="52"/>
      <c r="E57" s="52"/>
      <c r="F57" s="195"/>
      <c r="G57" s="80" t="s">
        <v>962</v>
      </c>
      <c r="H57" s="189"/>
      <c r="I57" s="190"/>
      <c r="J57" s="189"/>
      <c r="K57" s="189"/>
      <c r="L57" s="183">
        <f>4751000000-475591682</f>
        <v>4275408318</v>
      </c>
    </row>
    <row r="58" spans="1:12" ht="51" x14ac:dyDescent="0.2">
      <c r="A58" s="52"/>
      <c r="B58" s="53"/>
      <c r="C58" s="52"/>
      <c r="D58" s="52"/>
      <c r="E58" s="52"/>
      <c r="F58" s="195">
        <v>296057</v>
      </c>
      <c r="G58" s="80" t="s">
        <v>1310</v>
      </c>
      <c r="H58" s="189"/>
      <c r="I58" s="190"/>
      <c r="J58" s="189"/>
      <c r="K58" s="189"/>
      <c r="L58" s="183">
        <f>+L59</f>
        <v>475591682</v>
      </c>
    </row>
    <row r="59" spans="1:12" x14ac:dyDescent="0.2">
      <c r="A59" s="52"/>
      <c r="B59" s="53"/>
      <c r="C59" s="52"/>
      <c r="D59" s="52"/>
      <c r="E59" s="52"/>
      <c r="F59" s="195"/>
      <c r="G59" s="80" t="s">
        <v>962</v>
      </c>
      <c r="H59" s="189"/>
      <c r="I59" s="190"/>
      <c r="J59" s="189"/>
      <c r="K59" s="189"/>
      <c r="L59" s="183">
        <v>475591682</v>
      </c>
    </row>
    <row r="60" spans="1:12" ht="38.25" x14ac:dyDescent="0.2">
      <c r="A60" s="52"/>
      <c r="B60" s="53" t="s">
        <v>10</v>
      </c>
      <c r="C60" s="52"/>
      <c r="D60" s="52"/>
      <c r="E60" s="52"/>
      <c r="F60" s="195">
        <v>296066</v>
      </c>
      <c r="G60" s="80" t="s">
        <v>345</v>
      </c>
      <c r="H60" s="189"/>
      <c r="I60" s="190"/>
      <c r="J60" s="189"/>
      <c r="K60" s="189"/>
      <c r="L60" s="183">
        <f>+L61</f>
        <v>100000000</v>
      </c>
    </row>
    <row r="61" spans="1:12" x14ac:dyDescent="0.2">
      <c r="A61" s="52"/>
      <c r="B61" s="53"/>
      <c r="C61" s="52"/>
      <c r="D61" s="52"/>
      <c r="E61" s="52"/>
      <c r="F61" s="195"/>
      <c r="G61" s="80" t="s">
        <v>835</v>
      </c>
      <c r="H61" s="189"/>
      <c r="I61" s="190"/>
      <c r="J61" s="189"/>
      <c r="K61" s="189"/>
      <c r="L61" s="183">
        <f>150000000-50000000</f>
        <v>100000000</v>
      </c>
    </row>
    <row r="62" spans="1:12" ht="38.25" x14ac:dyDescent="0.2">
      <c r="A62" s="52"/>
      <c r="B62" s="53" t="s">
        <v>10</v>
      </c>
      <c r="C62" s="52"/>
      <c r="D62" s="52"/>
      <c r="E62" s="52"/>
      <c r="F62" s="195">
        <v>296070</v>
      </c>
      <c r="G62" s="80" t="s">
        <v>782</v>
      </c>
      <c r="H62" s="189"/>
      <c r="I62" s="190"/>
      <c r="J62" s="189"/>
      <c r="K62" s="189"/>
      <c r="L62" s="183">
        <f>+L63</f>
        <v>4372428557</v>
      </c>
    </row>
    <row r="63" spans="1:12" x14ac:dyDescent="0.2">
      <c r="A63" s="52"/>
      <c r="B63" s="53"/>
      <c r="C63" s="52"/>
      <c r="D63" s="52"/>
      <c r="E63" s="52"/>
      <c r="F63" s="195"/>
      <c r="G63" s="80" t="s">
        <v>928</v>
      </c>
      <c r="H63" s="189"/>
      <c r="I63" s="190"/>
      <c r="J63" s="189"/>
      <c r="K63" s="189"/>
      <c r="L63" s="183">
        <f>7372428557-3000000000</f>
        <v>4372428557</v>
      </c>
    </row>
    <row r="64" spans="1:12" ht="38.25" x14ac:dyDescent="0.2">
      <c r="A64" s="52"/>
      <c r="B64" s="53"/>
      <c r="C64" s="52"/>
      <c r="D64" s="52"/>
      <c r="E64" s="52"/>
      <c r="F64" s="195">
        <v>296070</v>
      </c>
      <c r="G64" s="80" t="s">
        <v>1542</v>
      </c>
      <c r="H64" s="189"/>
      <c r="I64" s="190"/>
      <c r="J64" s="189"/>
      <c r="K64" s="189"/>
      <c r="L64" s="183">
        <f>+L65</f>
        <v>3000000000</v>
      </c>
    </row>
    <row r="65" spans="1:12" x14ac:dyDescent="0.2">
      <c r="A65" s="52"/>
      <c r="B65" s="53"/>
      <c r="C65" s="52"/>
      <c r="D65" s="52"/>
      <c r="E65" s="52"/>
      <c r="F65" s="195"/>
      <c r="G65" s="80" t="s">
        <v>928</v>
      </c>
      <c r="H65" s="189"/>
      <c r="I65" s="190"/>
      <c r="J65" s="189"/>
      <c r="K65" s="189"/>
      <c r="L65" s="183">
        <v>3000000000</v>
      </c>
    </row>
    <row r="66" spans="1:12" ht="63.75" x14ac:dyDescent="0.2">
      <c r="A66" s="52"/>
      <c r="B66" s="53" t="s">
        <v>10</v>
      </c>
      <c r="C66" s="52"/>
      <c r="D66" s="52"/>
      <c r="E66" s="52"/>
      <c r="F66" s="195">
        <v>296092</v>
      </c>
      <c r="G66" s="80" t="s">
        <v>235</v>
      </c>
      <c r="H66" s="189"/>
      <c r="I66" s="190"/>
      <c r="J66" s="189"/>
      <c r="K66" s="189"/>
      <c r="L66" s="183">
        <f>+L67</f>
        <v>8140000000</v>
      </c>
    </row>
    <row r="67" spans="1:12" x14ac:dyDescent="0.2">
      <c r="A67" s="52"/>
      <c r="B67" s="53"/>
      <c r="C67" s="52"/>
      <c r="D67" s="52"/>
      <c r="E67" s="52"/>
      <c r="F67" s="195"/>
      <c r="G67" s="80" t="s">
        <v>928</v>
      </c>
      <c r="H67" s="189"/>
      <c r="I67" s="190"/>
      <c r="J67" s="189"/>
      <c r="K67" s="189"/>
      <c r="L67" s="183">
        <f>8600000000-460000000</f>
        <v>8140000000</v>
      </c>
    </row>
    <row r="68" spans="1:12" ht="63.75" x14ac:dyDescent="0.2">
      <c r="A68" s="52"/>
      <c r="B68" s="53"/>
      <c r="C68" s="52"/>
      <c r="D68" s="52"/>
      <c r="E68" s="52"/>
      <c r="F68" s="195">
        <v>296092</v>
      </c>
      <c r="G68" s="80" t="s">
        <v>1543</v>
      </c>
      <c r="H68" s="189"/>
      <c r="I68" s="190"/>
      <c r="J68" s="189"/>
      <c r="K68" s="189"/>
      <c r="L68" s="183">
        <f>+L69</f>
        <v>460000000</v>
      </c>
    </row>
    <row r="69" spans="1:12" x14ac:dyDescent="0.2">
      <c r="A69" s="52"/>
      <c r="B69" s="53"/>
      <c r="C69" s="52"/>
      <c r="D69" s="52"/>
      <c r="E69" s="52"/>
      <c r="F69" s="195"/>
      <c r="G69" s="80" t="s">
        <v>928</v>
      </c>
      <c r="H69" s="189"/>
      <c r="I69" s="190"/>
      <c r="J69" s="189"/>
      <c r="K69" s="189"/>
      <c r="L69" s="183">
        <v>460000000</v>
      </c>
    </row>
    <row r="70" spans="1:12" ht="25.5" x14ac:dyDescent="0.2">
      <c r="A70" s="52" t="s">
        <v>955</v>
      </c>
      <c r="B70" s="53"/>
      <c r="C70" s="52"/>
      <c r="D70" s="52"/>
      <c r="E70" s="52"/>
      <c r="F70" s="195"/>
      <c r="G70" s="173" t="s">
        <v>700</v>
      </c>
      <c r="H70" s="189"/>
      <c r="I70" s="190"/>
      <c r="J70" s="189"/>
      <c r="K70" s="189"/>
      <c r="L70" s="91">
        <f>+L72</f>
        <v>500000000</v>
      </c>
    </row>
    <row r="71" spans="1:12" ht="38.25" x14ac:dyDescent="0.2">
      <c r="A71" s="52"/>
      <c r="B71" s="53"/>
      <c r="C71" s="52" t="s">
        <v>503</v>
      </c>
      <c r="D71" s="55">
        <v>467</v>
      </c>
      <c r="E71" s="52" t="s">
        <v>1080</v>
      </c>
      <c r="F71" s="195"/>
      <c r="G71" s="80" t="s">
        <v>1052</v>
      </c>
      <c r="H71" s="196">
        <v>3</v>
      </c>
      <c r="I71" s="190" t="s">
        <v>925</v>
      </c>
      <c r="J71" s="196">
        <v>0</v>
      </c>
      <c r="K71" s="189" t="s">
        <v>301</v>
      </c>
      <c r="L71" s="194"/>
    </row>
    <row r="72" spans="1:12" ht="51" x14ac:dyDescent="0.2">
      <c r="A72" s="52"/>
      <c r="B72" s="53" t="s">
        <v>10</v>
      </c>
      <c r="C72" s="52"/>
      <c r="D72" s="52"/>
      <c r="E72" s="52"/>
      <c r="F72" s="195">
        <v>296104</v>
      </c>
      <c r="G72" s="80" t="s">
        <v>711</v>
      </c>
      <c r="H72" s="189"/>
      <c r="I72" s="190"/>
      <c r="J72" s="189"/>
      <c r="K72" s="189"/>
      <c r="L72" s="183">
        <f>+L73</f>
        <v>500000000</v>
      </c>
    </row>
    <row r="73" spans="1:12" x14ac:dyDescent="0.2">
      <c r="A73" s="52"/>
      <c r="B73" s="53"/>
      <c r="C73" s="52"/>
      <c r="D73" s="52"/>
      <c r="E73" s="52"/>
      <c r="F73" s="195"/>
      <c r="G73" s="80" t="s">
        <v>835</v>
      </c>
      <c r="H73" s="189"/>
      <c r="I73" s="190"/>
      <c r="J73" s="189"/>
      <c r="K73" s="189"/>
      <c r="L73" s="183">
        <f>1500000000-1000000000</f>
        <v>500000000</v>
      </c>
    </row>
    <row r="74" spans="1:12" x14ac:dyDescent="0.2">
      <c r="A74" s="52"/>
      <c r="B74" s="53"/>
      <c r="C74" s="52"/>
      <c r="D74" s="52"/>
      <c r="E74" s="52"/>
      <c r="F74" s="195"/>
      <c r="G74" s="80"/>
      <c r="H74" s="189"/>
      <c r="I74" s="190"/>
      <c r="J74" s="189"/>
      <c r="K74" s="189"/>
      <c r="L74" s="183"/>
    </row>
    <row r="75" spans="1:12" ht="30" x14ac:dyDescent="0.25">
      <c r="A75" s="52"/>
      <c r="B75" s="53"/>
      <c r="C75" s="52"/>
      <c r="D75" s="52"/>
      <c r="E75" s="52"/>
      <c r="F75" s="195"/>
      <c r="G75" s="178" t="s">
        <v>87</v>
      </c>
      <c r="H75" s="208"/>
      <c r="I75" s="207"/>
      <c r="J75" s="208"/>
      <c r="K75" s="208"/>
      <c r="L75" s="202">
        <f>L30+L9</f>
        <v>158935930227</v>
      </c>
    </row>
    <row r="76" spans="1:12" ht="15" x14ac:dyDescent="0.25">
      <c r="A76" s="52"/>
      <c r="B76" s="53"/>
      <c r="C76" s="52"/>
      <c r="D76" s="52"/>
      <c r="E76" s="52"/>
      <c r="F76" s="195"/>
      <c r="G76" s="178"/>
      <c r="H76" s="208"/>
      <c r="I76" s="207"/>
      <c r="J76" s="208"/>
      <c r="K76" s="208"/>
      <c r="L76" s="202"/>
    </row>
    <row r="77" spans="1:12" ht="15" x14ac:dyDescent="0.25">
      <c r="A77" s="52"/>
      <c r="B77" s="53"/>
      <c r="C77" s="52"/>
      <c r="D77" s="52"/>
      <c r="E77" s="52"/>
      <c r="F77" s="195"/>
      <c r="G77" s="178"/>
      <c r="H77" s="208"/>
      <c r="I77" s="207"/>
      <c r="J77" s="208"/>
      <c r="K77" s="208"/>
      <c r="L77" s="202"/>
    </row>
    <row r="78" spans="1:12" x14ac:dyDescent="0.2">
      <c r="A78" s="69"/>
      <c r="B78" s="70"/>
      <c r="C78" s="69"/>
      <c r="D78" s="69"/>
      <c r="E78" s="69"/>
      <c r="F78" s="195"/>
      <c r="G78" s="170"/>
      <c r="H78" s="192"/>
      <c r="I78" s="193"/>
      <c r="J78" s="192"/>
      <c r="K78" s="192"/>
      <c r="L78" s="17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11"/>
  <sheetViews>
    <sheetView topLeftCell="B212" zoomScale="80" zoomScaleNormal="80" workbookViewId="0">
      <selection activeCell="B212" sqref="B212:N257"/>
    </sheetView>
  </sheetViews>
  <sheetFormatPr baseColWidth="10" defaultColWidth="9.140625" defaultRowHeight="12.75" x14ac:dyDescent="0.2"/>
  <cols>
    <col min="1" max="1" width="9.85546875" style="32" hidden="1" customWidth="1"/>
    <col min="2" max="2" width="9.42578125" style="69" customWidth="1"/>
    <col min="3" max="3" width="18" style="70" customWidth="1"/>
    <col min="4" max="4" width="8.28515625" style="69" customWidth="1"/>
    <col min="5" max="5" width="9.140625" style="69"/>
    <col min="6" max="6" width="12" style="69" customWidth="1"/>
    <col min="7" max="7" width="8" style="69" customWidth="1"/>
    <col min="8" max="8" width="59.42578125" style="170"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1" spans="1:131" x14ac:dyDescent="0.2">
      <c r="N1" s="37"/>
      <c r="O1" s="37"/>
      <c r="P1" s="37"/>
      <c r="Q1" s="37"/>
      <c r="R1" s="37"/>
      <c r="S1" s="37"/>
      <c r="T1" s="37"/>
      <c r="U1" s="37"/>
      <c r="V1" s="37"/>
      <c r="W1" s="37"/>
      <c r="X1" s="37"/>
      <c r="Y1" s="37"/>
      <c r="Z1" s="37"/>
      <c r="AA1" s="37"/>
      <c r="AB1" s="37"/>
      <c r="AC1" s="37"/>
      <c r="AD1" s="37"/>
      <c r="AE1" s="37"/>
      <c r="AF1" s="37"/>
      <c r="AG1" s="37"/>
      <c r="AH1" s="37"/>
    </row>
    <row r="2" spans="1:131" ht="24" customHeight="1" x14ac:dyDescent="0.2">
      <c r="B2" s="187" t="s">
        <v>1103</v>
      </c>
      <c r="C2" s="187"/>
      <c r="D2" s="187"/>
      <c r="E2" s="187"/>
      <c r="F2" s="187"/>
      <c r="G2" s="187"/>
      <c r="H2" s="187"/>
      <c r="I2" s="187"/>
      <c r="J2" s="187"/>
      <c r="K2" s="187"/>
      <c r="L2" s="187"/>
      <c r="M2" s="187"/>
      <c r="N2" s="37"/>
      <c r="O2" s="37"/>
      <c r="P2" s="37"/>
      <c r="Q2" s="37"/>
      <c r="R2" s="37"/>
      <c r="S2" s="37"/>
      <c r="T2" s="37"/>
      <c r="U2" s="37"/>
      <c r="V2" s="37"/>
      <c r="W2" s="37"/>
      <c r="X2" s="37"/>
      <c r="Y2" s="37"/>
      <c r="Z2" s="37"/>
      <c r="AA2" s="37"/>
      <c r="AB2" s="37"/>
      <c r="AC2" s="37"/>
      <c r="AD2" s="37"/>
      <c r="AE2" s="37"/>
      <c r="AF2" s="37"/>
      <c r="AG2" s="37"/>
      <c r="AH2" s="37"/>
    </row>
    <row r="3" spans="1:131" x14ac:dyDescent="0.2">
      <c r="N3" s="37"/>
      <c r="O3" s="37"/>
      <c r="P3" s="37"/>
      <c r="Q3" s="37"/>
      <c r="R3" s="37"/>
      <c r="S3" s="37"/>
      <c r="T3" s="37"/>
      <c r="U3" s="37"/>
      <c r="V3" s="37"/>
      <c r="W3" s="37"/>
      <c r="X3" s="37"/>
      <c r="Y3" s="37"/>
      <c r="Z3" s="37"/>
      <c r="AA3" s="37"/>
      <c r="AB3" s="37"/>
      <c r="AC3" s="37"/>
      <c r="AD3" s="37"/>
      <c r="AE3" s="37"/>
      <c r="AF3" s="37"/>
      <c r="AG3" s="37"/>
      <c r="AH3" s="37"/>
    </row>
    <row r="4" spans="1:131" s="33" customFormat="1" ht="133.5" customHeight="1" x14ac:dyDescent="0.2">
      <c r="A4" s="94" t="s">
        <v>641</v>
      </c>
      <c r="B4" s="71" t="s">
        <v>1100</v>
      </c>
      <c r="C4" s="71" t="s">
        <v>1092</v>
      </c>
      <c r="D4" s="35" t="s">
        <v>1091</v>
      </c>
      <c r="E4" s="71" t="s">
        <v>1097</v>
      </c>
      <c r="F4" s="35" t="s">
        <v>1098</v>
      </c>
      <c r="G4" s="35" t="s">
        <v>1093</v>
      </c>
      <c r="H4" s="171" t="s">
        <v>409</v>
      </c>
      <c r="I4" s="71" t="s">
        <v>1094</v>
      </c>
      <c r="J4" s="71" t="s">
        <v>1095</v>
      </c>
      <c r="K4" s="71" t="s">
        <v>1104</v>
      </c>
      <c r="L4" s="71" t="s">
        <v>1096</v>
      </c>
      <c r="M4" s="71" t="s">
        <v>1099</v>
      </c>
      <c r="N4" s="41"/>
      <c r="O4" s="41"/>
      <c r="P4" s="41"/>
      <c r="Q4" s="41"/>
      <c r="R4" s="41"/>
      <c r="S4" s="41"/>
      <c r="T4" s="41"/>
      <c r="U4" s="41"/>
      <c r="V4" s="41"/>
      <c r="W4" s="41"/>
      <c r="X4" s="41"/>
      <c r="Y4" s="41"/>
      <c r="Z4" s="41"/>
      <c r="AA4" s="41"/>
      <c r="AB4" s="41"/>
      <c r="AC4" s="41"/>
      <c r="AD4" s="41"/>
      <c r="AE4" s="41"/>
      <c r="AF4" s="41"/>
      <c r="AG4" s="41"/>
      <c r="AH4" s="41"/>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row>
    <row r="5" spans="1:131" x14ac:dyDescent="0.2">
      <c r="N5" s="37"/>
      <c r="O5" s="37"/>
      <c r="P5" s="37"/>
      <c r="Q5" s="37"/>
      <c r="R5" s="37"/>
      <c r="S5" s="37"/>
      <c r="T5" s="37"/>
      <c r="U5" s="37"/>
      <c r="V5" s="37"/>
      <c r="W5" s="37"/>
      <c r="X5" s="37"/>
      <c r="Y5" s="37"/>
      <c r="Z5" s="37"/>
      <c r="AA5" s="37"/>
      <c r="AB5" s="37"/>
      <c r="AC5" s="37"/>
      <c r="AD5" s="37"/>
      <c r="AE5" s="37"/>
      <c r="AF5" s="37"/>
      <c r="AG5" s="37"/>
      <c r="AH5" s="37"/>
    </row>
    <row r="6" spans="1:131" x14ac:dyDescent="0.2">
      <c r="A6" s="37"/>
      <c r="B6" s="52"/>
      <c r="C6" s="53"/>
      <c r="D6" s="52"/>
      <c r="E6" s="52"/>
      <c r="F6" s="52"/>
      <c r="G6" s="61"/>
      <c r="H6" s="80"/>
      <c r="I6" s="52"/>
      <c r="J6" s="53"/>
      <c r="K6" s="52"/>
      <c r="L6" s="52"/>
      <c r="M6" s="37"/>
      <c r="N6" s="37"/>
      <c r="O6" s="37"/>
      <c r="P6" s="37"/>
      <c r="Q6" s="37"/>
      <c r="R6" s="37"/>
      <c r="S6" s="37"/>
      <c r="T6" s="37"/>
      <c r="U6" s="37"/>
      <c r="V6" s="37"/>
      <c r="W6" s="37"/>
      <c r="X6" s="37"/>
      <c r="Y6" s="37"/>
      <c r="Z6" s="37"/>
      <c r="AA6" s="37"/>
      <c r="AB6" s="37"/>
      <c r="AC6" s="37"/>
      <c r="AD6" s="37"/>
      <c r="AE6" s="37"/>
      <c r="AF6" s="37"/>
      <c r="AG6" s="37"/>
      <c r="AH6" s="37"/>
    </row>
    <row r="7" spans="1:131" ht="15.75" x14ac:dyDescent="0.2">
      <c r="A7" s="37">
        <v>0</v>
      </c>
      <c r="B7" s="52"/>
      <c r="C7" s="53"/>
      <c r="D7" s="52"/>
      <c r="E7" s="52"/>
      <c r="F7" s="52"/>
      <c r="G7" s="61"/>
      <c r="H7" s="172" t="s">
        <v>792</v>
      </c>
      <c r="I7" s="52"/>
      <c r="J7" s="53"/>
      <c r="K7" s="52"/>
      <c r="L7" s="52"/>
      <c r="M7" s="54"/>
      <c r="N7" s="37"/>
      <c r="O7" s="37"/>
      <c r="P7" s="37"/>
      <c r="Q7" s="37"/>
      <c r="R7" s="37"/>
      <c r="S7" s="37"/>
      <c r="T7" s="37"/>
      <c r="U7" s="37"/>
      <c r="V7" s="37"/>
      <c r="W7" s="37"/>
      <c r="X7" s="37"/>
      <c r="Y7" s="37"/>
      <c r="Z7" s="37"/>
      <c r="AA7" s="37"/>
      <c r="AB7" s="37"/>
      <c r="AC7" s="37"/>
      <c r="AD7" s="37"/>
      <c r="AE7" s="37"/>
      <c r="AF7" s="37"/>
      <c r="AG7" s="37"/>
      <c r="AH7" s="37"/>
    </row>
    <row r="8" spans="1:131" ht="15.75" x14ac:dyDescent="0.2">
      <c r="A8" s="37">
        <v>1</v>
      </c>
      <c r="B8" s="52"/>
      <c r="C8" s="53"/>
      <c r="D8" s="52"/>
      <c r="E8" s="52"/>
      <c r="F8" s="52"/>
      <c r="G8" s="61"/>
      <c r="H8" s="172" t="s">
        <v>169</v>
      </c>
      <c r="I8" s="52"/>
      <c r="J8" s="53"/>
      <c r="K8" s="52"/>
      <c r="L8" s="52"/>
      <c r="M8" s="54"/>
      <c r="N8" s="37"/>
      <c r="O8" s="37"/>
      <c r="P8" s="37"/>
      <c r="Q8" s="37"/>
      <c r="R8" s="37"/>
      <c r="S8" s="37"/>
      <c r="T8" s="37"/>
      <c r="U8" s="37"/>
      <c r="V8" s="37"/>
      <c r="W8" s="37"/>
      <c r="X8" s="37"/>
      <c r="Y8" s="37"/>
      <c r="Z8" s="37"/>
      <c r="AA8" s="37"/>
      <c r="AB8" s="37"/>
      <c r="AC8" s="37"/>
      <c r="AD8" s="37"/>
      <c r="AE8" s="37"/>
      <c r="AF8" s="37"/>
      <c r="AG8" s="37"/>
      <c r="AH8" s="37"/>
    </row>
    <row r="9" spans="1:131" x14ac:dyDescent="0.2">
      <c r="A9" s="37">
        <v>2</v>
      </c>
      <c r="B9" s="52"/>
      <c r="C9" s="53"/>
      <c r="D9" s="52"/>
      <c r="E9" s="52"/>
      <c r="F9" s="52"/>
      <c r="G9" s="61"/>
      <c r="H9" s="80"/>
      <c r="I9" s="52"/>
      <c r="J9" s="53"/>
      <c r="K9" s="52"/>
      <c r="L9" s="52"/>
      <c r="M9" s="54"/>
      <c r="N9" s="37"/>
      <c r="O9" s="37"/>
      <c r="P9" s="37"/>
      <c r="Q9" s="37"/>
      <c r="R9" s="37"/>
      <c r="S9" s="37"/>
      <c r="T9" s="37"/>
      <c r="U9" s="37"/>
      <c r="V9" s="37"/>
      <c r="W9" s="37"/>
      <c r="X9" s="37"/>
      <c r="Y9" s="37"/>
      <c r="Z9" s="37"/>
      <c r="AA9" s="37"/>
      <c r="AB9" s="37"/>
      <c r="AC9" s="37"/>
      <c r="AD9" s="37"/>
      <c r="AE9" s="37"/>
      <c r="AF9" s="37"/>
      <c r="AG9" s="37"/>
      <c r="AH9" s="37"/>
    </row>
    <row r="10" spans="1:131" x14ac:dyDescent="0.2">
      <c r="A10" s="37">
        <v>3</v>
      </c>
      <c r="B10" s="52" t="s">
        <v>301</v>
      </c>
      <c r="C10" s="53"/>
      <c r="D10" s="52"/>
      <c r="E10" s="52"/>
      <c r="F10" s="52"/>
      <c r="G10" s="61"/>
      <c r="H10" s="173" t="s">
        <v>981</v>
      </c>
      <c r="I10" s="52"/>
      <c r="J10" s="53"/>
      <c r="K10" s="52"/>
      <c r="L10" s="52"/>
      <c r="M10" s="38">
        <f>+M11+M19+M83+M138+M154+M161+M173+M183</f>
        <v>580311004000</v>
      </c>
      <c r="N10" s="37"/>
      <c r="O10" s="37"/>
      <c r="P10" s="37"/>
      <c r="Q10" s="37"/>
      <c r="R10" s="37"/>
      <c r="S10" s="37"/>
      <c r="T10" s="37"/>
      <c r="U10" s="37"/>
      <c r="V10" s="37"/>
      <c r="W10" s="37"/>
      <c r="X10" s="37"/>
      <c r="Y10" s="37"/>
      <c r="Z10" s="37"/>
      <c r="AA10" s="37"/>
      <c r="AB10" s="37"/>
      <c r="AC10" s="37"/>
      <c r="AD10" s="37"/>
      <c r="AE10" s="37"/>
      <c r="AF10" s="37"/>
      <c r="AG10" s="37"/>
      <c r="AH10" s="37"/>
    </row>
    <row r="11" spans="1:131" x14ac:dyDescent="0.2">
      <c r="A11" s="37">
        <v>4</v>
      </c>
      <c r="B11" s="52" t="s">
        <v>857</v>
      </c>
      <c r="C11" s="53"/>
      <c r="D11" s="52"/>
      <c r="E11" s="52"/>
      <c r="F11" s="52"/>
      <c r="G11" s="61"/>
      <c r="H11" s="173" t="s">
        <v>387</v>
      </c>
      <c r="I11" s="52"/>
      <c r="J11" s="53"/>
      <c r="K11" s="52"/>
      <c r="L11" s="52"/>
      <c r="M11" s="38">
        <f>+M14</f>
        <v>2242000000</v>
      </c>
      <c r="N11" s="37"/>
      <c r="O11" s="37"/>
      <c r="P11" s="37"/>
      <c r="Q11" s="37"/>
      <c r="R11" s="37"/>
      <c r="S11" s="37"/>
      <c r="T11" s="37"/>
      <c r="U11" s="37"/>
      <c r="V11" s="37"/>
      <c r="W11" s="37"/>
      <c r="X11" s="37"/>
      <c r="Y11" s="37"/>
      <c r="Z11" s="37"/>
      <c r="AA11" s="37"/>
      <c r="AB11" s="37"/>
      <c r="AC11" s="37"/>
      <c r="AD11" s="37"/>
      <c r="AE11" s="37"/>
      <c r="AF11" s="37"/>
      <c r="AG11" s="37"/>
      <c r="AH11" s="37"/>
    </row>
    <row r="12" spans="1:131" ht="38.25" x14ac:dyDescent="0.2">
      <c r="A12" s="37">
        <v>5</v>
      </c>
      <c r="B12" s="189"/>
      <c r="C12" s="190"/>
      <c r="D12" s="189"/>
      <c r="E12" s="196">
        <v>35</v>
      </c>
      <c r="F12" s="189" t="s">
        <v>268</v>
      </c>
      <c r="G12" s="195"/>
      <c r="H12" s="80" t="s">
        <v>1014</v>
      </c>
      <c r="I12" s="197">
        <v>1.95</v>
      </c>
      <c r="J12" s="190" t="s">
        <v>440</v>
      </c>
      <c r="K12" s="196">
        <v>0</v>
      </c>
      <c r="L12" s="189" t="s">
        <v>1320</v>
      </c>
      <c r="M12" s="194"/>
      <c r="N12" s="37"/>
      <c r="O12" s="37"/>
      <c r="P12" s="37"/>
      <c r="Q12" s="37"/>
      <c r="R12" s="37"/>
      <c r="S12" s="37"/>
      <c r="T12" s="37"/>
      <c r="U12" s="37"/>
      <c r="V12" s="37"/>
      <c r="W12" s="37"/>
      <c r="X12" s="37"/>
      <c r="Y12" s="37"/>
      <c r="Z12" s="37"/>
      <c r="AA12" s="37"/>
      <c r="AB12" s="37"/>
      <c r="AC12" s="37"/>
      <c r="AD12" s="37"/>
      <c r="AE12" s="37"/>
      <c r="AF12" s="37"/>
      <c r="AG12" s="37"/>
      <c r="AH12" s="37"/>
    </row>
    <row r="13" spans="1:131" ht="38.25" x14ac:dyDescent="0.2">
      <c r="A13" s="37">
        <v>5</v>
      </c>
      <c r="B13" s="189"/>
      <c r="C13" s="190"/>
      <c r="D13" s="189"/>
      <c r="E13" s="196">
        <v>77</v>
      </c>
      <c r="F13" s="189" t="s">
        <v>268</v>
      </c>
      <c r="G13" s="195"/>
      <c r="H13" s="80" t="s">
        <v>686</v>
      </c>
      <c r="I13" s="196">
        <v>100</v>
      </c>
      <c r="J13" s="190" t="s">
        <v>849</v>
      </c>
      <c r="K13" s="196">
        <v>100</v>
      </c>
      <c r="L13" s="189" t="s">
        <v>1118</v>
      </c>
      <c r="M13" s="194"/>
      <c r="N13" s="37"/>
      <c r="O13" s="37"/>
      <c r="P13" s="37"/>
      <c r="Q13" s="37"/>
      <c r="R13" s="37"/>
      <c r="S13" s="37"/>
      <c r="T13" s="37"/>
      <c r="U13" s="37"/>
      <c r="V13" s="37"/>
      <c r="W13" s="37"/>
      <c r="X13" s="37"/>
      <c r="Y13" s="37"/>
      <c r="Z13" s="37"/>
      <c r="AA13" s="37"/>
      <c r="AB13" s="37"/>
      <c r="AC13" s="37"/>
      <c r="AD13" s="37"/>
      <c r="AE13" s="37"/>
      <c r="AF13" s="37"/>
      <c r="AG13" s="37"/>
      <c r="AH13" s="37"/>
    </row>
    <row r="14" spans="1:131" x14ac:dyDescent="0.2">
      <c r="A14" s="37">
        <v>6</v>
      </c>
      <c r="B14" s="189" t="s">
        <v>497</v>
      </c>
      <c r="C14" s="190"/>
      <c r="D14" s="189"/>
      <c r="E14" s="189"/>
      <c r="F14" s="189"/>
      <c r="G14" s="195"/>
      <c r="H14" s="173" t="s">
        <v>316</v>
      </c>
      <c r="I14" s="189"/>
      <c r="J14" s="190"/>
      <c r="K14" s="189"/>
      <c r="L14" s="189"/>
      <c r="M14" s="91">
        <f>+M16</f>
        <v>2242000000</v>
      </c>
      <c r="N14" s="37"/>
      <c r="O14" s="37"/>
      <c r="P14" s="37"/>
      <c r="Q14" s="37"/>
      <c r="R14" s="37"/>
      <c r="S14" s="37"/>
      <c r="T14" s="37"/>
      <c r="U14" s="37"/>
      <c r="V14" s="37"/>
      <c r="W14" s="37"/>
      <c r="X14" s="37"/>
      <c r="Y14" s="37"/>
      <c r="Z14" s="37"/>
      <c r="AA14" s="37"/>
      <c r="AB14" s="37"/>
      <c r="AC14" s="37"/>
      <c r="AD14" s="37"/>
      <c r="AE14" s="37"/>
      <c r="AF14" s="37"/>
      <c r="AG14" s="37"/>
      <c r="AH14" s="37"/>
    </row>
    <row r="15" spans="1:131" ht="38.25" x14ac:dyDescent="0.2">
      <c r="A15" s="37">
        <v>7</v>
      </c>
      <c r="B15" s="189"/>
      <c r="C15" s="190"/>
      <c r="D15" s="189" t="s">
        <v>573</v>
      </c>
      <c r="E15" s="196">
        <v>18</v>
      </c>
      <c r="F15" s="189" t="s">
        <v>1080</v>
      </c>
      <c r="G15" s="195"/>
      <c r="H15" s="80" t="s">
        <v>1042</v>
      </c>
      <c r="I15" s="196">
        <v>8000</v>
      </c>
      <c r="J15" s="190" t="s">
        <v>1073</v>
      </c>
      <c r="K15" s="196">
        <v>3564</v>
      </c>
      <c r="L15" s="196">
        <v>2000</v>
      </c>
      <c r="M15" s="194"/>
      <c r="N15" s="37"/>
      <c r="O15" s="37"/>
      <c r="P15" s="37"/>
      <c r="Q15" s="37"/>
      <c r="R15" s="37"/>
      <c r="S15" s="37"/>
      <c r="T15" s="37"/>
      <c r="U15" s="37"/>
      <c r="V15" s="37"/>
      <c r="W15" s="37"/>
      <c r="X15" s="37"/>
      <c r="Y15" s="37"/>
      <c r="Z15" s="37"/>
      <c r="AA15" s="37"/>
      <c r="AB15" s="37"/>
      <c r="AC15" s="37"/>
      <c r="AD15" s="37"/>
      <c r="AE15" s="37"/>
      <c r="AF15" s="37"/>
      <c r="AG15" s="37"/>
      <c r="AH15" s="37"/>
    </row>
    <row r="16" spans="1:131" ht="43.5" customHeight="1" x14ac:dyDescent="0.2">
      <c r="A16" s="37">
        <v>8</v>
      </c>
      <c r="B16" s="189"/>
      <c r="C16" s="190" t="s">
        <v>10</v>
      </c>
      <c r="D16" s="189"/>
      <c r="E16" s="189"/>
      <c r="F16" s="189"/>
      <c r="G16" s="195">
        <v>296122</v>
      </c>
      <c r="H16" s="80" t="s">
        <v>369</v>
      </c>
      <c r="I16" s="189"/>
      <c r="J16" s="190"/>
      <c r="K16" s="189"/>
      <c r="L16" s="189"/>
      <c r="M16" s="183">
        <f>+M17</f>
        <v>2242000000</v>
      </c>
      <c r="N16" s="37"/>
      <c r="O16" s="37"/>
      <c r="P16" s="37"/>
      <c r="Q16" s="37"/>
      <c r="R16" s="37"/>
      <c r="S16" s="37"/>
      <c r="T16" s="37"/>
      <c r="U16" s="37"/>
      <c r="V16" s="37"/>
      <c r="W16" s="37"/>
      <c r="X16" s="37"/>
      <c r="Y16" s="37"/>
      <c r="Z16" s="37"/>
      <c r="AA16" s="37"/>
      <c r="AB16" s="37"/>
      <c r="AC16" s="37"/>
      <c r="AD16" s="37"/>
      <c r="AE16" s="37"/>
      <c r="AF16" s="37"/>
      <c r="AG16" s="37"/>
      <c r="AH16" s="37"/>
    </row>
    <row r="17" spans="1:34" x14ac:dyDescent="0.2">
      <c r="A17" s="37">
        <v>9</v>
      </c>
      <c r="B17" s="189"/>
      <c r="C17" s="190"/>
      <c r="D17" s="189"/>
      <c r="E17" s="189"/>
      <c r="F17" s="189"/>
      <c r="G17" s="195"/>
      <c r="H17" s="80" t="s">
        <v>835</v>
      </c>
      <c r="I17" s="189"/>
      <c r="J17" s="190"/>
      <c r="K17" s="189"/>
      <c r="L17" s="189"/>
      <c r="M17" s="183">
        <f>3242000000-1000000000</f>
        <v>2242000000</v>
      </c>
      <c r="N17" s="37"/>
      <c r="O17" s="37"/>
      <c r="P17" s="37"/>
      <c r="Q17" s="37"/>
      <c r="R17" s="37"/>
      <c r="S17" s="37"/>
      <c r="T17" s="37"/>
      <c r="U17" s="37"/>
      <c r="V17" s="37"/>
      <c r="W17" s="37"/>
      <c r="X17" s="37"/>
      <c r="Y17" s="37"/>
      <c r="Z17" s="37"/>
      <c r="AA17" s="37"/>
      <c r="AB17" s="37"/>
      <c r="AC17" s="37"/>
      <c r="AD17" s="37"/>
      <c r="AE17" s="37"/>
      <c r="AF17" s="37"/>
      <c r="AG17" s="37"/>
      <c r="AH17" s="37"/>
    </row>
    <row r="18" spans="1:34" x14ac:dyDescent="0.2">
      <c r="A18" s="37"/>
      <c r="B18" s="189"/>
      <c r="C18" s="190"/>
      <c r="D18" s="189"/>
      <c r="E18" s="189"/>
      <c r="F18" s="189"/>
      <c r="G18" s="195"/>
      <c r="H18" s="80"/>
      <c r="I18" s="189"/>
      <c r="J18" s="190"/>
      <c r="K18" s="189"/>
      <c r="L18" s="189"/>
      <c r="M18" s="183"/>
      <c r="N18" s="37"/>
      <c r="O18" s="37"/>
      <c r="P18" s="37"/>
      <c r="Q18" s="37"/>
      <c r="R18" s="37"/>
      <c r="S18" s="37"/>
      <c r="T18" s="37"/>
      <c r="U18" s="37"/>
      <c r="V18" s="37"/>
      <c r="W18" s="37"/>
      <c r="X18" s="37"/>
      <c r="Y18" s="37"/>
      <c r="Z18" s="37"/>
      <c r="AA18" s="37"/>
      <c r="AB18" s="37"/>
      <c r="AC18" s="37"/>
      <c r="AD18" s="37"/>
      <c r="AE18" s="37"/>
      <c r="AF18" s="37"/>
      <c r="AG18" s="37"/>
      <c r="AH18" s="37"/>
    </row>
    <row r="19" spans="1:34" x14ac:dyDescent="0.2">
      <c r="A19" s="37">
        <v>4</v>
      </c>
      <c r="B19" s="189" t="s">
        <v>497</v>
      </c>
      <c r="C19" s="190"/>
      <c r="D19" s="189"/>
      <c r="E19" s="189"/>
      <c r="F19" s="189"/>
      <c r="G19" s="195"/>
      <c r="H19" s="173" t="s">
        <v>673</v>
      </c>
      <c r="I19" s="189"/>
      <c r="J19" s="190"/>
      <c r="K19" s="189"/>
      <c r="L19" s="189"/>
      <c r="M19" s="91">
        <f>+M28+M35</f>
        <v>511122051851</v>
      </c>
      <c r="N19" s="37"/>
      <c r="O19" s="37"/>
      <c r="P19" s="37"/>
      <c r="Q19" s="37"/>
      <c r="R19" s="37"/>
      <c r="S19" s="37"/>
      <c r="T19" s="37"/>
      <c r="U19" s="37"/>
      <c r="V19" s="37"/>
      <c r="W19" s="37"/>
      <c r="X19" s="37"/>
      <c r="Y19" s="37"/>
      <c r="Z19" s="37"/>
      <c r="AA19" s="37"/>
      <c r="AB19" s="37"/>
      <c r="AC19" s="37"/>
      <c r="AD19" s="37"/>
      <c r="AE19" s="37"/>
      <c r="AF19" s="37"/>
      <c r="AG19" s="37"/>
      <c r="AH19" s="37"/>
    </row>
    <row r="20" spans="1:34" ht="38.25" x14ac:dyDescent="0.2">
      <c r="A20" s="37">
        <v>5</v>
      </c>
      <c r="B20" s="189"/>
      <c r="C20" s="190"/>
      <c r="D20" s="189"/>
      <c r="E20" s="196">
        <v>35</v>
      </c>
      <c r="F20" s="189" t="s">
        <v>268</v>
      </c>
      <c r="G20" s="195"/>
      <c r="H20" s="80" t="s">
        <v>1014</v>
      </c>
      <c r="I20" s="197">
        <v>1.95</v>
      </c>
      <c r="J20" s="190" t="s">
        <v>440</v>
      </c>
      <c r="K20" s="196">
        <v>0</v>
      </c>
      <c r="L20" s="189" t="s">
        <v>1320</v>
      </c>
      <c r="M20" s="194"/>
      <c r="N20" s="37"/>
      <c r="O20" s="37"/>
      <c r="P20" s="37"/>
      <c r="Q20" s="37"/>
      <c r="R20" s="37"/>
      <c r="S20" s="37"/>
      <c r="T20" s="37"/>
      <c r="U20" s="37"/>
      <c r="V20" s="37"/>
      <c r="W20" s="37"/>
      <c r="X20" s="37"/>
      <c r="Y20" s="37"/>
      <c r="Z20" s="37"/>
      <c r="AA20" s="37"/>
      <c r="AB20" s="37"/>
      <c r="AC20" s="37"/>
      <c r="AD20" s="37"/>
      <c r="AE20" s="37"/>
      <c r="AF20" s="37"/>
      <c r="AG20" s="37"/>
      <c r="AH20" s="37"/>
    </row>
    <row r="21" spans="1:34" ht="45" customHeight="1" x14ac:dyDescent="0.2">
      <c r="A21" s="37">
        <v>5</v>
      </c>
      <c r="B21" s="189"/>
      <c r="C21" s="190"/>
      <c r="D21" s="189"/>
      <c r="E21" s="196">
        <v>36</v>
      </c>
      <c r="F21" s="189" t="s">
        <v>268</v>
      </c>
      <c r="G21" s="195"/>
      <c r="H21" s="80" t="s">
        <v>49</v>
      </c>
      <c r="I21" s="196">
        <v>100</v>
      </c>
      <c r="J21" s="190" t="s">
        <v>572</v>
      </c>
      <c r="K21" s="196">
        <v>100</v>
      </c>
      <c r="L21" s="189" t="s">
        <v>1165</v>
      </c>
      <c r="M21" s="194"/>
      <c r="N21" s="37"/>
      <c r="O21" s="37"/>
      <c r="P21" s="37"/>
      <c r="Q21" s="37"/>
      <c r="R21" s="37"/>
      <c r="S21" s="37"/>
      <c r="T21" s="37"/>
      <c r="U21" s="37"/>
      <c r="V21" s="37"/>
      <c r="W21" s="37"/>
      <c r="X21" s="37"/>
      <c r="Y21" s="37"/>
      <c r="Z21" s="37"/>
      <c r="AA21" s="37"/>
      <c r="AB21" s="37"/>
      <c r="AC21" s="37"/>
      <c r="AD21" s="37"/>
      <c r="AE21" s="37"/>
      <c r="AF21" s="37"/>
      <c r="AG21" s="37"/>
      <c r="AH21" s="37"/>
    </row>
    <row r="22" spans="1:34" ht="22.5" customHeight="1" x14ac:dyDescent="0.2">
      <c r="A22" s="37"/>
      <c r="B22" s="189"/>
      <c r="C22" s="190"/>
      <c r="D22" s="189"/>
      <c r="E22" s="196">
        <v>37</v>
      </c>
      <c r="F22" s="189" t="s">
        <v>268</v>
      </c>
      <c r="G22" s="195"/>
      <c r="H22" s="174" t="s">
        <v>918</v>
      </c>
      <c r="I22" s="197">
        <v>0.46</v>
      </c>
      <c r="J22" s="190" t="s">
        <v>440</v>
      </c>
      <c r="K22" s="196">
        <v>0</v>
      </c>
      <c r="L22" s="189" t="s">
        <v>1164</v>
      </c>
      <c r="M22" s="194"/>
      <c r="N22" s="37"/>
      <c r="O22" s="37"/>
      <c r="P22" s="37"/>
      <c r="Q22" s="37"/>
      <c r="R22" s="37"/>
      <c r="S22" s="37"/>
      <c r="T22" s="37"/>
      <c r="U22" s="37"/>
      <c r="V22" s="37"/>
      <c r="W22" s="37"/>
      <c r="X22" s="37"/>
      <c r="Y22" s="37"/>
      <c r="Z22" s="37"/>
      <c r="AA22" s="37"/>
      <c r="AB22" s="37"/>
      <c r="AC22" s="37"/>
      <c r="AD22" s="37"/>
      <c r="AE22" s="37"/>
      <c r="AF22" s="37"/>
      <c r="AG22" s="37"/>
      <c r="AH22" s="37"/>
    </row>
    <row r="23" spans="1:34" ht="39.75" customHeight="1" x14ac:dyDescent="0.2">
      <c r="A23" s="37">
        <v>5</v>
      </c>
      <c r="B23" s="189"/>
      <c r="C23" s="190"/>
      <c r="D23" s="189"/>
      <c r="E23" s="196">
        <v>38</v>
      </c>
      <c r="F23" s="189" t="s">
        <v>268</v>
      </c>
      <c r="G23" s="195"/>
      <c r="H23" s="80" t="s">
        <v>53</v>
      </c>
      <c r="I23" s="196">
        <v>3</v>
      </c>
      <c r="J23" s="190" t="s">
        <v>76</v>
      </c>
      <c r="K23" s="196">
        <v>0</v>
      </c>
      <c r="L23" s="189" t="s">
        <v>301</v>
      </c>
      <c r="M23" s="194"/>
      <c r="N23" s="37"/>
      <c r="O23" s="37"/>
      <c r="P23" s="37"/>
      <c r="Q23" s="37"/>
      <c r="R23" s="37"/>
      <c r="S23" s="37"/>
      <c r="T23" s="37"/>
      <c r="U23" s="37"/>
      <c r="V23" s="37"/>
      <c r="W23" s="37"/>
      <c r="X23" s="37"/>
      <c r="Y23" s="37"/>
      <c r="Z23" s="37"/>
      <c r="AA23" s="37"/>
      <c r="AB23" s="37"/>
      <c r="AC23" s="37"/>
      <c r="AD23" s="37"/>
      <c r="AE23" s="37"/>
      <c r="AF23" s="37"/>
      <c r="AG23" s="37"/>
      <c r="AH23" s="37"/>
    </row>
    <row r="24" spans="1:34" ht="39.75" customHeight="1" x14ac:dyDescent="0.2">
      <c r="A24" s="37"/>
      <c r="B24" s="189"/>
      <c r="C24" s="190"/>
      <c r="D24" s="189"/>
      <c r="E24" s="196">
        <v>75</v>
      </c>
      <c r="F24" s="189" t="s">
        <v>268</v>
      </c>
      <c r="G24" s="195"/>
      <c r="H24" s="80" t="s">
        <v>186</v>
      </c>
      <c r="I24" s="196">
        <v>3</v>
      </c>
      <c r="J24" s="190" t="s">
        <v>76</v>
      </c>
      <c r="K24" s="196">
        <v>0</v>
      </c>
      <c r="L24" s="189" t="s">
        <v>301</v>
      </c>
      <c r="M24" s="194"/>
      <c r="N24" s="37"/>
      <c r="O24" s="37"/>
      <c r="P24" s="37"/>
      <c r="Q24" s="37"/>
      <c r="R24" s="37"/>
      <c r="S24" s="37"/>
      <c r="T24" s="37"/>
      <c r="U24" s="37"/>
      <c r="V24" s="37"/>
      <c r="W24" s="37"/>
      <c r="X24" s="37"/>
      <c r="Y24" s="37"/>
      <c r="Z24" s="37"/>
      <c r="AA24" s="37"/>
      <c r="AB24" s="37"/>
      <c r="AC24" s="37"/>
      <c r="AD24" s="37"/>
      <c r="AE24" s="37"/>
      <c r="AF24" s="37"/>
      <c r="AG24" s="37"/>
      <c r="AH24" s="37"/>
    </row>
    <row r="25" spans="1:34" ht="25.5" x14ac:dyDescent="0.2">
      <c r="A25" s="37">
        <v>5</v>
      </c>
      <c r="B25" s="189"/>
      <c r="C25" s="190"/>
      <c r="D25" s="189"/>
      <c r="E25" s="196">
        <v>76</v>
      </c>
      <c r="F25" s="189" t="s">
        <v>268</v>
      </c>
      <c r="G25" s="195"/>
      <c r="H25" s="80" t="s">
        <v>309</v>
      </c>
      <c r="I25" s="196">
        <v>6</v>
      </c>
      <c r="J25" s="190" t="s">
        <v>76</v>
      </c>
      <c r="K25" s="196">
        <v>0</v>
      </c>
      <c r="L25" s="189" t="s">
        <v>422</v>
      </c>
      <c r="M25" s="194"/>
      <c r="N25" s="37"/>
      <c r="O25" s="37"/>
      <c r="P25" s="37"/>
      <c r="Q25" s="37"/>
      <c r="R25" s="37"/>
      <c r="S25" s="37"/>
      <c r="T25" s="37"/>
      <c r="U25" s="37"/>
      <c r="V25" s="37"/>
      <c r="W25" s="37"/>
      <c r="X25" s="37"/>
      <c r="Y25" s="37"/>
      <c r="Z25" s="37"/>
      <c r="AA25" s="37"/>
      <c r="AB25" s="37"/>
      <c r="AC25" s="37"/>
      <c r="AD25" s="37"/>
      <c r="AE25" s="37"/>
      <c r="AF25" s="37"/>
      <c r="AG25" s="37"/>
      <c r="AH25" s="37"/>
    </row>
    <row r="26" spans="1:34" ht="38.25" x14ac:dyDescent="0.2">
      <c r="A26" s="37">
        <v>5</v>
      </c>
      <c r="B26" s="189"/>
      <c r="C26" s="190"/>
      <c r="D26" s="189"/>
      <c r="E26" s="196">
        <v>77</v>
      </c>
      <c r="F26" s="189" t="s">
        <v>268</v>
      </c>
      <c r="G26" s="195"/>
      <c r="H26" s="80" t="s">
        <v>686</v>
      </c>
      <c r="I26" s="196">
        <v>100</v>
      </c>
      <c r="J26" s="190" t="s">
        <v>849</v>
      </c>
      <c r="K26" s="196">
        <v>0</v>
      </c>
      <c r="L26" s="189" t="s">
        <v>1209</v>
      </c>
      <c r="M26" s="194"/>
      <c r="N26" s="37"/>
      <c r="O26" s="37"/>
      <c r="P26" s="37"/>
      <c r="Q26" s="37"/>
      <c r="R26" s="37"/>
      <c r="S26" s="37"/>
      <c r="T26" s="37"/>
      <c r="U26" s="37"/>
      <c r="V26" s="37"/>
      <c r="W26" s="37"/>
      <c r="X26" s="37"/>
      <c r="Y26" s="37"/>
      <c r="Z26" s="37"/>
      <c r="AA26" s="37"/>
      <c r="AB26" s="37"/>
      <c r="AC26" s="37"/>
      <c r="AD26" s="37"/>
      <c r="AE26" s="37"/>
      <c r="AF26" s="37"/>
      <c r="AG26" s="37"/>
      <c r="AH26" s="37"/>
    </row>
    <row r="27" spans="1:34" x14ac:dyDescent="0.2">
      <c r="A27" s="37">
        <v>5</v>
      </c>
      <c r="B27" s="189"/>
      <c r="C27" s="190"/>
      <c r="D27" s="189"/>
      <c r="E27" s="175"/>
      <c r="F27" s="175"/>
      <c r="G27" s="175"/>
      <c r="H27" s="175"/>
      <c r="I27" s="175"/>
      <c r="J27" s="175"/>
      <c r="K27" s="175"/>
      <c r="L27" s="175"/>
      <c r="M27" s="175"/>
      <c r="N27" s="37"/>
      <c r="O27" s="37"/>
      <c r="P27" s="37"/>
      <c r="Q27" s="37"/>
      <c r="R27" s="37"/>
      <c r="S27" s="37"/>
      <c r="T27" s="37"/>
      <c r="U27" s="37"/>
      <c r="V27" s="37"/>
      <c r="W27" s="37"/>
      <c r="X27" s="37"/>
      <c r="Y27" s="37"/>
      <c r="Z27" s="37"/>
      <c r="AA27" s="37"/>
      <c r="AB27" s="37"/>
      <c r="AC27" s="37"/>
      <c r="AD27" s="37"/>
      <c r="AE27" s="37"/>
      <c r="AF27" s="37"/>
      <c r="AG27" s="37"/>
      <c r="AH27" s="37"/>
    </row>
    <row r="28" spans="1:34" x14ac:dyDescent="0.2">
      <c r="A28" s="37">
        <v>6</v>
      </c>
      <c r="B28" s="189" t="s">
        <v>857</v>
      </c>
      <c r="C28" s="190"/>
      <c r="D28" s="189"/>
      <c r="E28" s="189"/>
      <c r="F28" s="189"/>
      <c r="G28" s="195"/>
      <c r="H28" s="173" t="s">
        <v>839</v>
      </c>
      <c r="I28" s="189"/>
      <c r="J28" s="190"/>
      <c r="K28" s="189"/>
      <c r="L28" s="189"/>
      <c r="M28" s="91">
        <f>+M30+M33</f>
        <v>14723556451</v>
      </c>
      <c r="N28" s="37"/>
      <c r="O28" s="37"/>
      <c r="P28" s="37"/>
      <c r="Q28" s="37"/>
      <c r="R28" s="37"/>
      <c r="S28" s="37"/>
      <c r="T28" s="37"/>
      <c r="U28" s="37"/>
      <c r="V28" s="37"/>
      <c r="W28" s="37"/>
      <c r="X28" s="37"/>
      <c r="Y28" s="37"/>
      <c r="Z28" s="37"/>
      <c r="AA28" s="37"/>
      <c r="AB28" s="37"/>
      <c r="AC28" s="37"/>
      <c r="AD28" s="37"/>
      <c r="AE28" s="37"/>
      <c r="AF28" s="37"/>
      <c r="AG28" s="37"/>
      <c r="AH28" s="37"/>
    </row>
    <row r="29" spans="1:34" ht="38.25" x14ac:dyDescent="0.2">
      <c r="A29" s="37">
        <v>7</v>
      </c>
      <c r="B29" s="189"/>
      <c r="C29" s="190"/>
      <c r="D29" s="189" t="s">
        <v>264</v>
      </c>
      <c r="E29" s="196">
        <v>43</v>
      </c>
      <c r="F29" s="189" t="s">
        <v>1080</v>
      </c>
      <c r="G29" s="195"/>
      <c r="H29" s="80" t="s">
        <v>1064</v>
      </c>
      <c r="I29" s="196">
        <v>40874</v>
      </c>
      <c r="J29" s="190" t="s">
        <v>315</v>
      </c>
      <c r="K29" s="196">
        <v>709</v>
      </c>
      <c r="L29" s="196">
        <v>12230</v>
      </c>
      <c r="M29" s="194"/>
      <c r="N29" s="37"/>
      <c r="O29" s="37"/>
      <c r="P29" s="37"/>
      <c r="Q29" s="37"/>
      <c r="R29" s="37"/>
      <c r="S29" s="37"/>
      <c r="T29" s="37"/>
      <c r="U29" s="37"/>
      <c r="V29" s="37"/>
      <c r="W29" s="37"/>
      <c r="X29" s="37"/>
      <c r="Y29" s="37"/>
      <c r="Z29" s="37"/>
      <c r="AA29" s="37"/>
      <c r="AB29" s="37"/>
      <c r="AC29" s="37"/>
      <c r="AD29" s="37"/>
      <c r="AE29" s="37"/>
      <c r="AF29" s="37"/>
      <c r="AG29" s="37"/>
      <c r="AH29" s="37"/>
    </row>
    <row r="30" spans="1:34" ht="51" x14ac:dyDescent="0.2">
      <c r="A30" s="37">
        <v>8</v>
      </c>
      <c r="B30" s="189"/>
      <c r="C30" s="190" t="s">
        <v>1159</v>
      </c>
      <c r="D30" s="189"/>
      <c r="E30" s="189"/>
      <c r="F30" s="189"/>
      <c r="G30" s="195">
        <v>296129</v>
      </c>
      <c r="H30" s="80" t="s">
        <v>1269</v>
      </c>
      <c r="I30" s="189"/>
      <c r="J30" s="190"/>
      <c r="K30" s="189"/>
      <c r="L30" s="189"/>
      <c r="M30" s="183">
        <f>+M32+M31</f>
        <v>13875556451</v>
      </c>
      <c r="N30" s="37"/>
      <c r="O30" s="37"/>
      <c r="P30" s="37"/>
      <c r="Q30" s="37"/>
      <c r="R30" s="37"/>
      <c r="S30" s="37"/>
      <c r="T30" s="37"/>
      <c r="U30" s="37"/>
      <c r="V30" s="37"/>
      <c r="W30" s="37"/>
      <c r="X30" s="37"/>
      <c r="Y30" s="37"/>
      <c r="Z30" s="37"/>
      <c r="AA30" s="37"/>
      <c r="AB30" s="37"/>
      <c r="AC30" s="37"/>
      <c r="AD30" s="37"/>
      <c r="AE30" s="37"/>
      <c r="AF30" s="37"/>
      <c r="AG30" s="37"/>
      <c r="AH30" s="37"/>
    </row>
    <row r="31" spans="1:34" ht="25.5" x14ac:dyDescent="0.2">
      <c r="A31" s="37"/>
      <c r="B31" s="189"/>
      <c r="C31" s="190"/>
      <c r="D31" s="189"/>
      <c r="E31" s="189"/>
      <c r="F31" s="189"/>
      <c r="G31" s="195"/>
      <c r="H31" s="80" t="s">
        <v>1514</v>
      </c>
      <c r="I31" s="189"/>
      <c r="J31" s="190"/>
      <c r="K31" s="189"/>
      <c r="L31" s="189"/>
      <c r="M31" s="183">
        <v>13535556451</v>
      </c>
      <c r="N31" s="37"/>
      <c r="O31" s="37"/>
      <c r="P31" s="37"/>
      <c r="Q31" s="37"/>
      <c r="R31" s="37"/>
      <c r="S31" s="37"/>
      <c r="T31" s="37"/>
      <c r="U31" s="37"/>
      <c r="V31" s="37"/>
      <c r="W31" s="37"/>
      <c r="X31" s="37"/>
      <c r="Y31" s="37"/>
      <c r="Z31" s="37"/>
      <c r="AA31" s="37"/>
      <c r="AB31" s="37"/>
      <c r="AC31" s="37"/>
      <c r="AD31" s="37"/>
      <c r="AE31" s="37"/>
      <c r="AF31" s="37"/>
      <c r="AG31" s="37"/>
      <c r="AH31" s="37"/>
    </row>
    <row r="32" spans="1:34" x14ac:dyDescent="0.2">
      <c r="A32" s="37">
        <v>9</v>
      </c>
      <c r="B32" s="189"/>
      <c r="C32" s="190"/>
      <c r="D32" s="189"/>
      <c r="E32" s="189"/>
      <c r="F32" s="189"/>
      <c r="G32" s="195"/>
      <c r="H32" s="80" t="s">
        <v>835</v>
      </c>
      <c r="I32" s="189"/>
      <c r="J32" s="190"/>
      <c r="K32" s="189"/>
      <c r="L32" s="189"/>
      <c r="M32" s="183">
        <f>340000000</f>
        <v>340000000</v>
      </c>
      <c r="N32" s="37"/>
      <c r="O32" s="37"/>
      <c r="P32" s="37"/>
      <c r="Q32" s="37"/>
      <c r="R32" s="37"/>
      <c r="S32" s="37"/>
      <c r="T32" s="37"/>
      <c r="U32" s="37"/>
      <c r="V32" s="37"/>
      <c r="W32" s="37"/>
      <c r="X32" s="37"/>
      <c r="Y32" s="37"/>
      <c r="Z32" s="37"/>
      <c r="AA32" s="37"/>
      <c r="AB32" s="37"/>
      <c r="AC32" s="37"/>
      <c r="AD32" s="37"/>
      <c r="AE32" s="37"/>
      <c r="AF32" s="37"/>
      <c r="AG32" s="37"/>
      <c r="AH32" s="37"/>
    </row>
    <row r="33" spans="1:34" ht="38.25" x14ac:dyDescent="0.2">
      <c r="A33" s="37"/>
      <c r="B33" s="189"/>
      <c r="C33" s="190" t="s">
        <v>10</v>
      </c>
      <c r="D33" s="189"/>
      <c r="E33" s="189"/>
      <c r="F33" s="189"/>
      <c r="G33" s="195">
        <v>296129</v>
      </c>
      <c r="H33" s="80" t="s">
        <v>834</v>
      </c>
      <c r="I33" s="189"/>
      <c r="J33" s="190"/>
      <c r="K33" s="189"/>
      <c r="L33" s="189"/>
      <c r="M33" s="183">
        <f>+M34</f>
        <v>848000000</v>
      </c>
      <c r="N33" s="37"/>
      <c r="O33" s="37"/>
      <c r="P33" s="37"/>
      <c r="Q33" s="37"/>
      <c r="R33" s="37"/>
      <c r="S33" s="37"/>
      <c r="T33" s="37"/>
      <c r="U33" s="37"/>
      <c r="V33" s="37"/>
      <c r="W33" s="37"/>
      <c r="X33" s="37"/>
      <c r="Y33" s="37"/>
      <c r="Z33" s="37"/>
      <c r="AA33" s="37"/>
      <c r="AB33" s="37"/>
      <c r="AC33" s="37"/>
      <c r="AD33" s="37"/>
      <c r="AE33" s="37"/>
      <c r="AF33" s="37"/>
      <c r="AG33" s="37"/>
      <c r="AH33" s="37"/>
    </row>
    <row r="34" spans="1:34" x14ac:dyDescent="0.2">
      <c r="A34" s="37"/>
      <c r="B34" s="189"/>
      <c r="C34" s="190"/>
      <c r="D34" s="189"/>
      <c r="E34" s="189"/>
      <c r="F34" s="189"/>
      <c r="G34" s="195"/>
      <c r="H34" s="80" t="s">
        <v>835</v>
      </c>
      <c r="I34" s="189"/>
      <c r="J34" s="190"/>
      <c r="K34" s="189"/>
      <c r="L34" s="189"/>
      <c r="M34" s="183">
        <f>1048000000-200000000</f>
        <v>848000000</v>
      </c>
      <c r="N34" s="37"/>
      <c r="O34" s="37"/>
      <c r="P34" s="37"/>
      <c r="Q34" s="37"/>
      <c r="R34" s="37"/>
      <c r="S34" s="37"/>
      <c r="T34" s="37"/>
      <c r="U34" s="37"/>
      <c r="V34" s="37"/>
      <c r="W34" s="37"/>
      <c r="X34" s="37"/>
      <c r="Y34" s="37"/>
      <c r="Z34" s="37"/>
      <c r="AA34" s="37"/>
      <c r="AB34" s="37"/>
      <c r="AC34" s="37"/>
      <c r="AD34" s="37"/>
      <c r="AE34" s="37"/>
      <c r="AF34" s="37"/>
      <c r="AG34" s="37"/>
      <c r="AH34" s="37"/>
    </row>
    <row r="35" spans="1:34" x14ac:dyDescent="0.2">
      <c r="A35" s="37">
        <v>6</v>
      </c>
      <c r="B35" s="189" t="s">
        <v>497</v>
      </c>
      <c r="C35" s="190"/>
      <c r="D35" s="189"/>
      <c r="E35" s="189"/>
      <c r="F35" s="189"/>
      <c r="G35" s="195"/>
      <c r="H35" s="173" t="s">
        <v>316</v>
      </c>
      <c r="I35" s="189"/>
      <c r="J35" s="190"/>
      <c r="K35" s="189"/>
      <c r="L35" s="189"/>
      <c r="M35" s="91">
        <f>+M50+M52+M54+M59+M75+M80+M77+M56+M64+M72+M70</f>
        <v>496398495400</v>
      </c>
      <c r="N35" s="37"/>
      <c r="O35" s="37"/>
      <c r="P35" s="37"/>
      <c r="Q35" s="37"/>
      <c r="R35" s="37"/>
      <c r="S35" s="37"/>
      <c r="T35" s="37"/>
      <c r="U35" s="37"/>
      <c r="V35" s="37"/>
      <c r="W35" s="37"/>
      <c r="X35" s="37"/>
      <c r="Y35" s="37"/>
      <c r="Z35" s="37"/>
      <c r="AA35" s="37"/>
      <c r="AB35" s="37"/>
      <c r="AC35" s="37"/>
      <c r="AD35" s="37"/>
      <c r="AE35" s="37"/>
      <c r="AF35" s="37"/>
      <c r="AG35" s="37"/>
      <c r="AH35" s="37"/>
    </row>
    <row r="36" spans="1:34" ht="25.5" x14ac:dyDescent="0.2">
      <c r="A36" s="37"/>
      <c r="B36" s="189"/>
      <c r="C36" s="190"/>
      <c r="D36" s="189" t="s">
        <v>573</v>
      </c>
      <c r="E36" s="196">
        <v>45</v>
      </c>
      <c r="F36" s="189" t="s">
        <v>1080</v>
      </c>
      <c r="G36" s="195"/>
      <c r="H36" s="80" t="s">
        <v>751</v>
      </c>
      <c r="I36" s="196">
        <v>35</v>
      </c>
      <c r="J36" s="190" t="s">
        <v>286</v>
      </c>
      <c r="K36" s="196">
        <v>16</v>
      </c>
      <c r="L36" s="189" t="s">
        <v>1312</v>
      </c>
      <c r="M36" s="91"/>
      <c r="N36" s="37"/>
      <c r="O36" s="37"/>
      <c r="P36" s="37"/>
      <c r="Q36" s="37"/>
      <c r="R36" s="37"/>
      <c r="S36" s="37"/>
      <c r="T36" s="37"/>
      <c r="U36" s="37"/>
      <c r="V36" s="37"/>
      <c r="W36" s="37"/>
      <c r="X36" s="37"/>
      <c r="Y36" s="37"/>
      <c r="Z36" s="37"/>
      <c r="AA36" s="37"/>
      <c r="AB36" s="37"/>
      <c r="AC36" s="37"/>
      <c r="AD36" s="37"/>
      <c r="AE36" s="37"/>
      <c r="AF36" s="37"/>
      <c r="AG36" s="37"/>
      <c r="AH36" s="37"/>
    </row>
    <row r="37" spans="1:34" ht="38.25" x14ac:dyDescent="0.2">
      <c r="A37" s="37"/>
      <c r="B37" s="189"/>
      <c r="C37" s="190"/>
      <c r="D37" s="189" t="s">
        <v>986</v>
      </c>
      <c r="E37" s="196">
        <v>46</v>
      </c>
      <c r="F37" s="189" t="s">
        <v>1080</v>
      </c>
      <c r="G37" s="195"/>
      <c r="H37" s="80" t="s">
        <v>247</v>
      </c>
      <c r="I37" s="196">
        <v>34560</v>
      </c>
      <c r="J37" s="190" t="s">
        <v>315</v>
      </c>
      <c r="K37" s="196">
        <v>13605</v>
      </c>
      <c r="L37" s="196">
        <v>8700</v>
      </c>
      <c r="M37" s="91"/>
      <c r="N37" s="37"/>
      <c r="O37" s="37"/>
      <c r="P37" s="37"/>
      <c r="Q37" s="37"/>
      <c r="R37" s="37"/>
      <c r="S37" s="37"/>
      <c r="T37" s="37"/>
      <c r="U37" s="37"/>
      <c r="V37" s="37"/>
      <c r="W37" s="37"/>
      <c r="X37" s="37"/>
      <c r="Y37" s="37"/>
      <c r="Z37" s="37"/>
      <c r="AA37" s="37"/>
      <c r="AB37" s="37"/>
      <c r="AC37" s="37"/>
      <c r="AD37" s="37"/>
      <c r="AE37" s="37"/>
      <c r="AF37" s="37"/>
      <c r="AG37" s="37"/>
      <c r="AH37" s="37"/>
    </row>
    <row r="38" spans="1:34" ht="38.25" x14ac:dyDescent="0.2">
      <c r="A38" s="37"/>
      <c r="B38" s="189"/>
      <c r="C38" s="190"/>
      <c r="D38" s="189" t="s">
        <v>961</v>
      </c>
      <c r="E38" s="196">
        <v>47</v>
      </c>
      <c r="F38" s="189" t="s">
        <v>1080</v>
      </c>
      <c r="G38" s="195"/>
      <c r="H38" s="80" t="s">
        <v>788</v>
      </c>
      <c r="I38" s="196">
        <v>70</v>
      </c>
      <c r="J38" s="190" t="s">
        <v>1063</v>
      </c>
      <c r="K38" s="189">
        <v>0.42</v>
      </c>
      <c r="L38" s="189" t="s">
        <v>1288</v>
      </c>
      <c r="M38" s="91"/>
      <c r="N38" s="37"/>
      <c r="O38" s="37"/>
      <c r="P38" s="37"/>
      <c r="Q38" s="37"/>
      <c r="R38" s="37"/>
      <c r="S38" s="37"/>
      <c r="T38" s="37"/>
      <c r="U38" s="37"/>
      <c r="V38" s="37"/>
      <c r="W38" s="37"/>
      <c r="X38" s="37"/>
      <c r="Y38" s="37"/>
      <c r="Z38" s="37"/>
      <c r="AA38" s="37"/>
      <c r="AB38" s="37"/>
      <c r="AC38" s="37"/>
      <c r="AD38" s="37"/>
      <c r="AE38" s="37"/>
      <c r="AF38" s="37"/>
      <c r="AG38" s="37"/>
      <c r="AH38" s="37"/>
    </row>
    <row r="39" spans="1:34" ht="38.25" x14ac:dyDescent="0.2">
      <c r="A39" s="37"/>
      <c r="B39" s="189"/>
      <c r="C39" s="190"/>
      <c r="D39" s="189" t="s">
        <v>961</v>
      </c>
      <c r="E39" s="196">
        <v>48</v>
      </c>
      <c r="F39" s="189" t="s">
        <v>1080</v>
      </c>
      <c r="G39" s="195"/>
      <c r="H39" s="80" t="s">
        <v>180</v>
      </c>
      <c r="I39" s="196">
        <v>200</v>
      </c>
      <c r="J39" s="190" t="s">
        <v>565</v>
      </c>
      <c r="K39" s="196">
        <v>0</v>
      </c>
      <c r="L39" s="189" t="s">
        <v>1165</v>
      </c>
      <c r="M39" s="91"/>
      <c r="N39" s="37"/>
      <c r="O39" s="37"/>
      <c r="P39" s="37"/>
      <c r="Q39" s="37"/>
      <c r="R39" s="37"/>
      <c r="S39" s="37"/>
      <c r="T39" s="37"/>
      <c r="U39" s="37"/>
      <c r="V39" s="37"/>
      <c r="W39" s="37"/>
      <c r="X39" s="37"/>
      <c r="Y39" s="37"/>
      <c r="Z39" s="37"/>
      <c r="AA39" s="37"/>
      <c r="AB39" s="37"/>
      <c r="AC39" s="37"/>
      <c r="AD39" s="37"/>
      <c r="AE39" s="37"/>
      <c r="AF39" s="37"/>
      <c r="AG39" s="37"/>
      <c r="AH39" s="37"/>
    </row>
    <row r="40" spans="1:34" ht="38.25" x14ac:dyDescent="0.2">
      <c r="A40" s="37"/>
      <c r="B40" s="189"/>
      <c r="C40" s="190"/>
      <c r="D40" s="189" t="s">
        <v>573</v>
      </c>
      <c r="E40" s="196">
        <v>49</v>
      </c>
      <c r="F40" s="189" t="s">
        <v>1080</v>
      </c>
      <c r="G40" s="195"/>
      <c r="H40" s="80" t="s">
        <v>122</v>
      </c>
      <c r="I40" s="196">
        <v>76</v>
      </c>
      <c r="J40" s="190" t="s">
        <v>951</v>
      </c>
      <c r="K40" s="196">
        <v>19</v>
      </c>
      <c r="L40" s="189" t="s">
        <v>1181</v>
      </c>
      <c r="M40" s="91"/>
      <c r="N40" s="37"/>
      <c r="O40" s="37"/>
      <c r="P40" s="37"/>
      <c r="Q40" s="37"/>
      <c r="R40" s="37"/>
      <c r="S40" s="37"/>
      <c r="T40" s="37"/>
      <c r="U40" s="37"/>
      <c r="V40" s="37"/>
      <c r="W40" s="37"/>
      <c r="X40" s="37"/>
      <c r="Y40" s="37"/>
      <c r="Z40" s="37"/>
      <c r="AA40" s="37"/>
      <c r="AB40" s="37"/>
      <c r="AC40" s="37"/>
      <c r="AD40" s="37"/>
      <c r="AE40" s="37"/>
      <c r="AF40" s="37"/>
      <c r="AG40" s="37"/>
      <c r="AH40" s="37"/>
    </row>
    <row r="41" spans="1:34" ht="38.25" x14ac:dyDescent="0.2">
      <c r="A41" s="37"/>
      <c r="B41" s="189"/>
      <c r="C41" s="190"/>
      <c r="D41" s="189" t="s">
        <v>573</v>
      </c>
      <c r="E41" s="196">
        <v>50</v>
      </c>
      <c r="F41" s="189" t="s">
        <v>1080</v>
      </c>
      <c r="G41" s="195"/>
      <c r="H41" s="80" t="s">
        <v>123</v>
      </c>
      <c r="I41" s="196">
        <v>100</v>
      </c>
      <c r="J41" s="190" t="s">
        <v>945</v>
      </c>
      <c r="K41" s="196">
        <v>25</v>
      </c>
      <c r="L41" s="189" t="s">
        <v>1167</v>
      </c>
      <c r="M41" s="91"/>
      <c r="N41" s="37"/>
      <c r="O41" s="37"/>
      <c r="P41" s="37"/>
      <c r="Q41" s="37"/>
      <c r="R41" s="37"/>
      <c r="S41" s="37"/>
      <c r="T41" s="37"/>
      <c r="U41" s="37"/>
      <c r="V41" s="37"/>
      <c r="W41" s="37"/>
      <c r="X41" s="37"/>
      <c r="Y41" s="37"/>
      <c r="Z41" s="37"/>
      <c r="AA41" s="37"/>
      <c r="AB41" s="37"/>
      <c r="AC41" s="37"/>
      <c r="AD41" s="37"/>
      <c r="AE41" s="37"/>
      <c r="AF41" s="37"/>
      <c r="AG41" s="37"/>
      <c r="AH41" s="37"/>
    </row>
    <row r="42" spans="1:34" ht="76.5" x14ac:dyDescent="0.2">
      <c r="A42" s="37"/>
      <c r="B42" s="189"/>
      <c r="C42" s="190"/>
      <c r="D42" s="189" t="s">
        <v>573</v>
      </c>
      <c r="E42" s="196">
        <v>51</v>
      </c>
      <c r="F42" s="189" t="s">
        <v>1080</v>
      </c>
      <c r="G42" s="195"/>
      <c r="H42" s="176" t="s">
        <v>736</v>
      </c>
      <c r="I42" s="196">
        <v>100</v>
      </c>
      <c r="J42" s="190" t="s">
        <v>339</v>
      </c>
      <c r="K42" s="196">
        <v>100</v>
      </c>
      <c r="L42" s="189" t="s">
        <v>1165</v>
      </c>
      <c r="M42" s="91"/>
      <c r="N42" s="37"/>
      <c r="O42" s="37"/>
      <c r="P42" s="37"/>
      <c r="Q42" s="37"/>
      <c r="R42" s="37"/>
      <c r="S42" s="37"/>
      <c r="T42" s="37"/>
      <c r="U42" s="37"/>
      <c r="V42" s="37"/>
      <c r="W42" s="37"/>
      <c r="X42" s="37"/>
      <c r="Y42" s="37"/>
      <c r="Z42" s="37"/>
      <c r="AA42" s="37"/>
      <c r="AB42" s="37"/>
      <c r="AC42" s="37"/>
      <c r="AD42" s="37"/>
      <c r="AE42" s="37"/>
      <c r="AF42" s="37"/>
      <c r="AG42" s="37"/>
      <c r="AH42" s="37"/>
    </row>
    <row r="43" spans="1:34" ht="38.25" x14ac:dyDescent="0.2">
      <c r="A43" s="37"/>
      <c r="B43" s="189"/>
      <c r="C43" s="190"/>
      <c r="D43" s="189" t="s">
        <v>133</v>
      </c>
      <c r="E43" s="196">
        <v>60</v>
      </c>
      <c r="F43" s="189" t="s">
        <v>319</v>
      </c>
      <c r="G43" s="195"/>
      <c r="H43" s="80" t="s">
        <v>342</v>
      </c>
      <c r="I43" s="196">
        <v>100</v>
      </c>
      <c r="J43" s="190" t="s">
        <v>339</v>
      </c>
      <c r="K43" s="196">
        <v>100</v>
      </c>
      <c r="L43" s="189" t="s">
        <v>1165</v>
      </c>
      <c r="M43" s="91"/>
      <c r="N43" s="37"/>
      <c r="O43" s="37"/>
      <c r="P43" s="37"/>
      <c r="Q43" s="37"/>
      <c r="R43" s="37"/>
      <c r="S43" s="37"/>
      <c r="T43" s="37"/>
      <c r="U43" s="37"/>
      <c r="V43" s="37"/>
      <c r="W43" s="37"/>
      <c r="X43" s="37"/>
      <c r="Y43" s="37"/>
      <c r="Z43" s="37"/>
      <c r="AA43" s="37"/>
      <c r="AB43" s="37"/>
      <c r="AC43" s="37"/>
      <c r="AD43" s="37"/>
      <c r="AE43" s="37"/>
      <c r="AF43" s="37"/>
      <c r="AG43" s="37"/>
      <c r="AH43" s="37"/>
    </row>
    <row r="44" spans="1:34" ht="38.25" x14ac:dyDescent="0.2">
      <c r="A44" s="37"/>
      <c r="B44" s="189"/>
      <c r="C44" s="190"/>
      <c r="D44" s="189" t="s">
        <v>1084</v>
      </c>
      <c r="E44" s="196">
        <v>61</v>
      </c>
      <c r="F44" s="189" t="s">
        <v>319</v>
      </c>
      <c r="G44" s="195"/>
      <c r="H44" s="80" t="s">
        <v>300</v>
      </c>
      <c r="I44" s="196">
        <v>100</v>
      </c>
      <c r="J44" s="190" t="s">
        <v>339</v>
      </c>
      <c r="K44" s="196">
        <v>100</v>
      </c>
      <c r="L44" s="189" t="s">
        <v>1165</v>
      </c>
      <c r="M44" s="91"/>
      <c r="N44" s="37"/>
      <c r="O44" s="37"/>
      <c r="P44" s="37"/>
      <c r="Q44" s="37"/>
      <c r="R44" s="37"/>
      <c r="S44" s="37"/>
      <c r="T44" s="37"/>
      <c r="U44" s="37"/>
      <c r="V44" s="37"/>
      <c r="W44" s="37"/>
      <c r="X44" s="37"/>
      <c r="Y44" s="37"/>
      <c r="Z44" s="37"/>
      <c r="AA44" s="37"/>
      <c r="AB44" s="37"/>
      <c r="AC44" s="37"/>
      <c r="AD44" s="37"/>
      <c r="AE44" s="37"/>
      <c r="AF44" s="37"/>
      <c r="AG44" s="37"/>
      <c r="AH44" s="37"/>
    </row>
    <row r="45" spans="1:34" ht="38.25" x14ac:dyDescent="0.2">
      <c r="A45" s="37"/>
      <c r="B45" s="189"/>
      <c r="C45" s="190"/>
      <c r="D45" s="189" t="s">
        <v>757</v>
      </c>
      <c r="E45" s="196">
        <v>62</v>
      </c>
      <c r="F45" s="189" t="s">
        <v>319</v>
      </c>
      <c r="G45" s="195"/>
      <c r="H45" s="80" t="s">
        <v>0</v>
      </c>
      <c r="I45" s="196">
        <v>52</v>
      </c>
      <c r="J45" s="190" t="s">
        <v>339</v>
      </c>
      <c r="K45" s="196">
        <v>0</v>
      </c>
      <c r="L45" s="189" t="s">
        <v>1166</v>
      </c>
      <c r="M45" s="91"/>
      <c r="N45" s="37"/>
      <c r="O45" s="37"/>
      <c r="P45" s="37"/>
      <c r="Q45" s="37"/>
      <c r="R45" s="37"/>
      <c r="S45" s="37"/>
      <c r="T45" s="37"/>
      <c r="U45" s="37"/>
      <c r="V45" s="37"/>
      <c r="W45" s="37"/>
      <c r="X45" s="37"/>
      <c r="Y45" s="37"/>
      <c r="Z45" s="37"/>
      <c r="AA45" s="37"/>
      <c r="AB45" s="37"/>
      <c r="AC45" s="37"/>
      <c r="AD45" s="37"/>
      <c r="AE45" s="37"/>
      <c r="AF45" s="37"/>
      <c r="AG45" s="37"/>
      <c r="AH45" s="37"/>
    </row>
    <row r="46" spans="1:34" ht="38.25" x14ac:dyDescent="0.2">
      <c r="A46" s="37">
        <v>7</v>
      </c>
      <c r="B46" s="189"/>
      <c r="C46" s="190"/>
      <c r="D46" s="189" t="s">
        <v>382</v>
      </c>
      <c r="E46" s="196">
        <v>63</v>
      </c>
      <c r="F46" s="189" t="s">
        <v>319</v>
      </c>
      <c r="G46" s="195"/>
      <c r="H46" s="80" t="s">
        <v>803</v>
      </c>
      <c r="I46" s="196">
        <v>100</v>
      </c>
      <c r="J46" s="190" t="s">
        <v>339</v>
      </c>
      <c r="K46" s="196">
        <v>100</v>
      </c>
      <c r="L46" s="189" t="s">
        <v>1165</v>
      </c>
      <c r="M46" s="194"/>
      <c r="N46" s="37"/>
      <c r="O46" s="37"/>
      <c r="P46" s="37"/>
      <c r="Q46" s="37"/>
      <c r="R46" s="37"/>
      <c r="S46" s="37"/>
      <c r="T46" s="37"/>
      <c r="U46" s="37"/>
      <c r="V46" s="37"/>
      <c r="W46" s="37"/>
      <c r="X46" s="37"/>
      <c r="Y46" s="37"/>
      <c r="Z46" s="37"/>
      <c r="AA46" s="37"/>
      <c r="AB46" s="37"/>
      <c r="AC46" s="37"/>
      <c r="AD46" s="37"/>
      <c r="AE46" s="37"/>
      <c r="AF46" s="37"/>
      <c r="AG46" s="37"/>
      <c r="AH46" s="37"/>
    </row>
    <row r="47" spans="1:34" ht="25.5" x14ac:dyDescent="0.2">
      <c r="A47" s="37">
        <v>7</v>
      </c>
      <c r="B47" s="189"/>
      <c r="C47" s="190"/>
      <c r="D47" s="189" t="s">
        <v>321</v>
      </c>
      <c r="E47" s="196">
        <v>64</v>
      </c>
      <c r="F47" s="189" t="s">
        <v>319</v>
      </c>
      <c r="G47" s="195"/>
      <c r="H47" s="80" t="s">
        <v>1028</v>
      </c>
      <c r="I47" s="196">
        <v>100</v>
      </c>
      <c r="J47" s="190" t="s">
        <v>368</v>
      </c>
      <c r="K47" s="196">
        <v>100</v>
      </c>
      <c r="L47" s="189" t="s">
        <v>1165</v>
      </c>
      <c r="M47" s="194"/>
      <c r="N47" s="37"/>
      <c r="O47" s="37"/>
      <c r="P47" s="37"/>
      <c r="Q47" s="37"/>
      <c r="R47" s="37"/>
      <c r="S47" s="37"/>
      <c r="T47" s="37"/>
      <c r="U47" s="37"/>
      <c r="V47" s="37"/>
      <c r="W47" s="37"/>
      <c r="X47" s="37"/>
      <c r="Y47" s="37"/>
      <c r="Z47" s="37"/>
      <c r="AA47" s="37"/>
      <c r="AB47" s="37"/>
      <c r="AC47" s="37"/>
      <c r="AD47" s="37"/>
      <c r="AE47" s="37"/>
      <c r="AF47" s="37"/>
      <c r="AG47" s="37"/>
      <c r="AH47" s="37"/>
    </row>
    <row r="48" spans="1:34" x14ac:dyDescent="0.2">
      <c r="A48" s="37"/>
      <c r="B48" s="189"/>
      <c r="C48" s="190"/>
      <c r="D48" s="189"/>
      <c r="E48" s="196"/>
      <c r="F48" s="189"/>
      <c r="G48" s="195"/>
      <c r="H48" s="80"/>
      <c r="I48" s="196"/>
      <c r="J48" s="190"/>
      <c r="K48" s="196"/>
      <c r="L48" s="189"/>
      <c r="M48" s="194"/>
      <c r="N48" s="37"/>
      <c r="O48" s="37"/>
      <c r="P48" s="37"/>
      <c r="Q48" s="37"/>
      <c r="R48" s="37"/>
      <c r="S48" s="37"/>
      <c r="T48" s="37"/>
      <c r="U48" s="37"/>
      <c r="V48" s="37"/>
      <c r="W48" s="37"/>
      <c r="X48" s="37"/>
      <c r="Y48" s="37"/>
      <c r="Z48" s="37"/>
      <c r="AA48" s="37"/>
      <c r="AB48" s="37"/>
      <c r="AC48" s="37"/>
      <c r="AD48" s="37"/>
      <c r="AE48" s="37"/>
      <c r="AF48" s="37"/>
      <c r="AG48" s="37"/>
      <c r="AH48" s="37"/>
    </row>
    <row r="49" spans="1:34" x14ac:dyDescent="0.2">
      <c r="A49" s="37">
        <v>7</v>
      </c>
      <c r="B49" s="189"/>
      <c r="C49" s="190"/>
      <c r="D49" s="175"/>
      <c r="E49" s="175"/>
      <c r="F49" s="175"/>
      <c r="G49" s="175"/>
      <c r="H49" s="175"/>
      <c r="I49" s="175"/>
      <c r="J49" s="175"/>
      <c r="K49" s="175"/>
      <c r="L49" s="175"/>
      <c r="M49" s="194"/>
      <c r="N49" s="37"/>
      <c r="O49" s="37"/>
      <c r="P49" s="37"/>
      <c r="Q49" s="37"/>
      <c r="R49" s="37"/>
      <c r="S49" s="37"/>
      <c r="T49" s="37"/>
      <c r="U49" s="37"/>
      <c r="V49" s="37"/>
      <c r="W49" s="37"/>
      <c r="X49" s="37"/>
      <c r="Y49" s="37"/>
      <c r="Z49" s="37"/>
      <c r="AA49" s="37"/>
      <c r="AB49" s="37"/>
      <c r="AC49" s="37"/>
      <c r="AD49" s="37"/>
      <c r="AE49" s="37"/>
      <c r="AF49" s="37"/>
      <c r="AG49" s="37"/>
      <c r="AH49" s="37"/>
    </row>
    <row r="50" spans="1:34" ht="38.25" x14ac:dyDescent="0.2">
      <c r="A50" s="37">
        <v>8</v>
      </c>
      <c r="B50" s="189"/>
      <c r="C50" s="190" t="s">
        <v>10</v>
      </c>
      <c r="D50" s="189"/>
      <c r="E50" s="189"/>
      <c r="F50" s="189"/>
      <c r="G50" s="195">
        <v>296121</v>
      </c>
      <c r="H50" s="80" t="s">
        <v>861</v>
      </c>
      <c r="I50" s="189"/>
      <c r="J50" s="190"/>
      <c r="K50" s="189"/>
      <c r="L50" s="189"/>
      <c r="M50" s="183">
        <f>+M51</f>
        <v>145000000</v>
      </c>
      <c r="N50" s="37"/>
      <c r="O50" s="37"/>
      <c r="P50" s="37"/>
      <c r="Q50" s="37"/>
      <c r="R50" s="37"/>
      <c r="S50" s="37"/>
      <c r="T50" s="37"/>
      <c r="U50" s="37"/>
      <c r="V50" s="37"/>
      <c r="W50" s="37"/>
      <c r="X50" s="37"/>
      <c r="Y50" s="37"/>
      <c r="Z50" s="37"/>
      <c r="AA50" s="37"/>
      <c r="AB50" s="37"/>
      <c r="AC50" s="37"/>
      <c r="AD50" s="37"/>
      <c r="AE50" s="37"/>
      <c r="AF50" s="37"/>
      <c r="AG50" s="37"/>
      <c r="AH50" s="37"/>
    </row>
    <row r="51" spans="1:34" x14ac:dyDescent="0.2">
      <c r="A51" s="37">
        <v>9</v>
      </c>
      <c r="B51" s="189"/>
      <c r="C51" s="190"/>
      <c r="D51" s="189"/>
      <c r="E51" s="189"/>
      <c r="F51" s="189"/>
      <c r="G51" s="195"/>
      <c r="H51" s="80" t="s">
        <v>835</v>
      </c>
      <c r="I51" s="189"/>
      <c r="J51" s="190"/>
      <c r="K51" s="189"/>
      <c r="L51" s="189"/>
      <c r="M51" s="183">
        <f>68000000+77000000</f>
        <v>145000000</v>
      </c>
      <c r="N51" s="37"/>
      <c r="O51" s="37"/>
      <c r="P51" s="37"/>
      <c r="Q51" s="37"/>
      <c r="R51" s="37"/>
      <c r="S51" s="37"/>
      <c r="T51" s="37"/>
      <c r="U51" s="37"/>
      <c r="V51" s="37"/>
      <c r="W51" s="37"/>
      <c r="X51" s="37"/>
      <c r="Y51" s="37"/>
      <c r="Z51" s="37"/>
      <c r="AA51" s="37"/>
      <c r="AB51" s="37"/>
      <c r="AC51" s="37"/>
      <c r="AD51" s="37"/>
      <c r="AE51" s="37"/>
      <c r="AF51" s="37"/>
      <c r="AG51" s="37"/>
      <c r="AH51" s="37"/>
    </row>
    <row r="52" spans="1:34" ht="51" x14ac:dyDescent="0.2">
      <c r="A52" s="37">
        <v>8</v>
      </c>
      <c r="B52" s="189"/>
      <c r="C52" s="190" t="s">
        <v>10</v>
      </c>
      <c r="D52" s="189"/>
      <c r="E52" s="189"/>
      <c r="F52" s="189"/>
      <c r="G52" s="195">
        <v>296124</v>
      </c>
      <c r="H52" s="80" t="s">
        <v>620</v>
      </c>
      <c r="I52" s="189"/>
      <c r="J52" s="190"/>
      <c r="K52" s="189"/>
      <c r="L52" s="189"/>
      <c r="M52" s="183">
        <f>+M53</f>
        <v>1079200000</v>
      </c>
      <c r="N52" s="37"/>
      <c r="O52" s="37"/>
      <c r="P52" s="37"/>
      <c r="Q52" s="37"/>
      <c r="R52" s="37"/>
      <c r="S52" s="37"/>
      <c r="T52" s="37"/>
      <c r="U52" s="37"/>
      <c r="V52" s="37"/>
      <c r="W52" s="37"/>
      <c r="X52" s="37"/>
      <c r="Y52" s="37"/>
      <c r="Z52" s="37"/>
      <c r="AA52" s="37"/>
      <c r="AB52" s="37"/>
      <c r="AC52" s="37"/>
      <c r="AD52" s="37"/>
      <c r="AE52" s="37"/>
      <c r="AF52" s="37"/>
      <c r="AG52" s="37"/>
      <c r="AH52" s="37"/>
    </row>
    <row r="53" spans="1:34" x14ac:dyDescent="0.2">
      <c r="A53" s="37">
        <v>9</v>
      </c>
      <c r="B53" s="189"/>
      <c r="C53" s="190"/>
      <c r="D53" s="189"/>
      <c r="E53" s="189"/>
      <c r="F53" s="189"/>
      <c r="G53" s="195"/>
      <c r="H53" s="80" t="s">
        <v>835</v>
      </c>
      <c r="I53" s="189"/>
      <c r="J53" s="190"/>
      <c r="K53" s="189"/>
      <c r="L53" s="189"/>
      <c r="M53" s="183">
        <f>1039200000+350000000+190000000-500000000</f>
        <v>1079200000</v>
      </c>
      <c r="N53" s="37"/>
      <c r="O53" s="37"/>
      <c r="P53" s="37"/>
      <c r="Q53" s="37"/>
      <c r="R53" s="37"/>
      <c r="S53" s="37"/>
      <c r="T53" s="37"/>
      <c r="U53" s="37"/>
      <c r="V53" s="37"/>
      <c r="W53" s="37"/>
      <c r="X53" s="37"/>
      <c r="Y53" s="37"/>
      <c r="Z53" s="37"/>
      <c r="AA53" s="37"/>
      <c r="AB53" s="37"/>
      <c r="AC53" s="37"/>
      <c r="AD53" s="37"/>
      <c r="AE53" s="37"/>
      <c r="AF53" s="37"/>
      <c r="AG53" s="37"/>
      <c r="AH53" s="37"/>
    </row>
    <row r="54" spans="1:34" ht="52.5" customHeight="1" x14ac:dyDescent="0.2">
      <c r="A54" s="37">
        <v>8</v>
      </c>
      <c r="B54" s="189"/>
      <c r="C54" s="190" t="s">
        <v>1159</v>
      </c>
      <c r="D54" s="189"/>
      <c r="E54" s="189"/>
      <c r="F54" s="189"/>
      <c r="G54" s="195">
        <v>296125</v>
      </c>
      <c r="H54" s="80" t="s">
        <v>1168</v>
      </c>
      <c r="I54" s="189"/>
      <c r="J54" s="190"/>
      <c r="K54" s="189"/>
      <c r="L54" s="189"/>
      <c r="M54" s="183">
        <f>+M55</f>
        <v>153000000</v>
      </c>
      <c r="N54" s="37"/>
      <c r="O54" s="37"/>
      <c r="P54" s="37"/>
      <c r="Q54" s="37"/>
      <c r="R54" s="37"/>
      <c r="S54" s="37"/>
      <c r="T54" s="37"/>
      <c r="U54" s="37"/>
      <c r="V54" s="37"/>
      <c r="W54" s="37"/>
      <c r="X54" s="37"/>
      <c r="Y54" s="37"/>
      <c r="Z54" s="37"/>
      <c r="AA54" s="37"/>
      <c r="AB54" s="37"/>
      <c r="AC54" s="37"/>
      <c r="AD54" s="37"/>
      <c r="AE54" s="37"/>
      <c r="AF54" s="37"/>
      <c r="AG54" s="37"/>
      <c r="AH54" s="37"/>
    </row>
    <row r="55" spans="1:34" x14ac:dyDescent="0.2">
      <c r="A55" s="37">
        <v>9</v>
      </c>
      <c r="B55" s="189"/>
      <c r="C55" s="190"/>
      <c r="D55" s="189"/>
      <c r="E55" s="189"/>
      <c r="F55" s="189"/>
      <c r="G55" s="195"/>
      <c r="H55" s="80" t="s">
        <v>835</v>
      </c>
      <c r="I55" s="189"/>
      <c r="J55" s="190"/>
      <c r="K55" s="189"/>
      <c r="L55" s="189"/>
      <c r="M55" s="183">
        <v>153000000</v>
      </c>
      <c r="N55" s="37"/>
      <c r="O55" s="37"/>
      <c r="P55" s="37"/>
      <c r="Q55" s="37"/>
      <c r="R55" s="37"/>
      <c r="S55" s="37"/>
      <c r="T55" s="37"/>
      <c r="U55" s="37"/>
      <c r="V55" s="37"/>
      <c r="W55" s="37"/>
      <c r="X55" s="37"/>
      <c r="Y55" s="37"/>
      <c r="Z55" s="37"/>
      <c r="AA55" s="37"/>
      <c r="AB55" s="37"/>
      <c r="AC55" s="37"/>
      <c r="AD55" s="37"/>
      <c r="AE55" s="37"/>
      <c r="AF55" s="37"/>
      <c r="AG55" s="37"/>
      <c r="AH55" s="37"/>
    </row>
    <row r="56" spans="1:34" ht="51" x14ac:dyDescent="0.2">
      <c r="A56" s="37">
        <v>8</v>
      </c>
      <c r="B56" s="189"/>
      <c r="C56" s="190" t="s">
        <v>10</v>
      </c>
      <c r="D56" s="189"/>
      <c r="E56" s="189"/>
      <c r="F56" s="189"/>
      <c r="G56" s="195">
        <v>296125</v>
      </c>
      <c r="H56" s="80" t="s">
        <v>1313</v>
      </c>
      <c r="I56" s="189"/>
      <c r="J56" s="190"/>
      <c r="K56" s="189"/>
      <c r="L56" s="189"/>
      <c r="M56" s="183">
        <f>+M57</f>
        <v>612000000</v>
      </c>
      <c r="N56" s="37"/>
      <c r="O56" s="37"/>
      <c r="P56" s="37"/>
      <c r="Q56" s="37"/>
      <c r="R56" s="37"/>
      <c r="S56" s="37"/>
      <c r="T56" s="37"/>
      <c r="U56" s="37"/>
      <c r="V56" s="37"/>
      <c r="W56" s="37"/>
      <c r="X56" s="37"/>
      <c r="Y56" s="37"/>
      <c r="Z56" s="37"/>
      <c r="AA56" s="37"/>
      <c r="AB56" s="37"/>
      <c r="AC56" s="37"/>
      <c r="AD56" s="37"/>
      <c r="AE56" s="37"/>
      <c r="AF56" s="37"/>
      <c r="AG56" s="37"/>
      <c r="AH56" s="37"/>
    </row>
    <row r="57" spans="1:34" x14ac:dyDescent="0.2">
      <c r="A57" s="37"/>
      <c r="B57" s="189"/>
      <c r="C57" s="190"/>
      <c r="D57" s="189"/>
      <c r="E57" s="189"/>
      <c r="F57" s="189"/>
      <c r="G57" s="195"/>
      <c r="H57" s="80" t="s">
        <v>835</v>
      </c>
      <c r="I57" s="189"/>
      <c r="J57" s="190"/>
      <c r="K57" s="189"/>
      <c r="L57" s="189"/>
      <c r="M57" s="183">
        <f>519000000-153000000+210000000+80000000+56000000-100000000</f>
        <v>612000000</v>
      </c>
      <c r="N57" s="37"/>
      <c r="O57" s="37"/>
      <c r="P57" s="37"/>
      <c r="Q57" s="37"/>
      <c r="R57" s="37"/>
      <c r="S57" s="37"/>
      <c r="T57" s="37"/>
      <c r="U57" s="37"/>
      <c r="V57" s="37"/>
      <c r="W57" s="37"/>
      <c r="X57" s="37"/>
      <c r="Y57" s="37"/>
      <c r="Z57" s="37"/>
      <c r="AA57" s="37"/>
      <c r="AB57" s="37"/>
      <c r="AC57" s="37"/>
      <c r="AD57" s="37"/>
      <c r="AE57" s="37"/>
      <c r="AF57" s="37"/>
      <c r="AG57" s="37"/>
      <c r="AH57" s="37"/>
    </row>
    <row r="58" spans="1:34" x14ac:dyDescent="0.2">
      <c r="A58" s="37"/>
      <c r="B58" s="189"/>
      <c r="C58" s="190"/>
      <c r="D58" s="189"/>
      <c r="E58" s="189"/>
      <c r="F58" s="189"/>
      <c r="G58" s="195"/>
      <c r="H58" s="80"/>
      <c r="I58" s="189"/>
      <c r="J58" s="190"/>
      <c r="K58" s="189"/>
      <c r="L58" s="189"/>
      <c r="M58" s="183"/>
      <c r="N58" s="37"/>
      <c r="O58" s="37"/>
      <c r="P58" s="37"/>
      <c r="Q58" s="37"/>
      <c r="R58" s="37"/>
      <c r="S58" s="37"/>
      <c r="T58" s="37"/>
      <c r="U58" s="37"/>
      <c r="V58" s="37"/>
      <c r="W58" s="37"/>
      <c r="X58" s="37"/>
      <c r="Y58" s="37"/>
      <c r="Z58" s="37"/>
      <c r="AA58" s="37"/>
      <c r="AB58" s="37"/>
      <c r="AC58" s="37"/>
      <c r="AD58" s="37"/>
      <c r="AE58" s="37"/>
      <c r="AF58" s="37"/>
      <c r="AG58" s="37"/>
      <c r="AH58" s="37"/>
    </row>
    <row r="59" spans="1:34" ht="76.5" x14ac:dyDescent="0.2">
      <c r="A59" s="37">
        <v>8</v>
      </c>
      <c r="B59" s="189"/>
      <c r="C59" s="190" t="s">
        <v>1159</v>
      </c>
      <c r="D59" s="189"/>
      <c r="E59" s="189"/>
      <c r="F59" s="189"/>
      <c r="G59" s="195">
        <v>296127</v>
      </c>
      <c r="H59" s="176" t="s">
        <v>1169</v>
      </c>
      <c r="I59" s="189"/>
      <c r="J59" s="190"/>
      <c r="K59" s="189"/>
      <c r="L59" s="189"/>
      <c r="M59" s="183">
        <f>+M60+M61+M62+M63</f>
        <v>4779830768</v>
      </c>
      <c r="N59" s="37"/>
      <c r="O59" s="37"/>
      <c r="P59" s="37"/>
      <c r="Q59" s="37"/>
      <c r="R59" s="37"/>
      <c r="S59" s="37"/>
      <c r="T59" s="37"/>
      <c r="U59" s="37"/>
      <c r="V59" s="37"/>
      <c r="W59" s="37"/>
      <c r="X59" s="37"/>
      <c r="Y59" s="37"/>
      <c r="Z59" s="37"/>
      <c r="AA59" s="37"/>
      <c r="AB59" s="37"/>
      <c r="AC59" s="37"/>
      <c r="AD59" s="37"/>
      <c r="AE59" s="37"/>
      <c r="AF59" s="37"/>
      <c r="AG59" s="37"/>
      <c r="AH59" s="37"/>
    </row>
    <row r="60" spans="1:34" x14ac:dyDescent="0.2">
      <c r="A60" s="37">
        <v>9</v>
      </c>
      <c r="B60" s="189"/>
      <c r="C60" s="190"/>
      <c r="D60" s="189"/>
      <c r="E60" s="189"/>
      <c r="F60" s="189"/>
      <c r="G60" s="195"/>
      <c r="H60" s="80" t="s">
        <v>835</v>
      </c>
      <c r="I60" s="189"/>
      <c r="J60" s="190"/>
      <c r="K60" s="189"/>
      <c r="L60" s="189"/>
      <c r="M60" s="183">
        <v>3012750000</v>
      </c>
      <c r="N60" s="37"/>
      <c r="O60" s="37"/>
      <c r="P60" s="37"/>
      <c r="Q60" s="37"/>
      <c r="R60" s="37"/>
      <c r="S60" s="37"/>
      <c r="T60" s="37"/>
      <c r="U60" s="37"/>
      <c r="V60" s="37"/>
      <c r="W60" s="37"/>
      <c r="X60" s="37"/>
      <c r="Y60" s="37"/>
      <c r="Z60" s="37"/>
      <c r="AA60" s="37"/>
      <c r="AB60" s="37"/>
      <c r="AC60" s="37"/>
      <c r="AD60" s="37"/>
      <c r="AE60" s="37"/>
      <c r="AF60" s="37"/>
      <c r="AG60" s="37"/>
      <c r="AH60" s="37"/>
    </row>
    <row r="61" spans="1:34" ht="25.5" x14ac:dyDescent="0.2">
      <c r="A61" s="37">
        <v>9</v>
      </c>
      <c r="B61" s="189"/>
      <c r="C61" s="190"/>
      <c r="D61" s="189"/>
      <c r="E61" s="189"/>
      <c r="F61" s="189"/>
      <c r="G61" s="195"/>
      <c r="H61" s="80" t="s">
        <v>971</v>
      </c>
      <c r="I61" s="189"/>
      <c r="J61" s="190"/>
      <c r="K61" s="189"/>
      <c r="L61" s="189"/>
      <c r="M61" s="198">
        <f>840000000+427080768</f>
        <v>1267080768</v>
      </c>
      <c r="N61" s="37"/>
      <c r="O61" s="37"/>
      <c r="P61" s="37"/>
      <c r="Q61" s="37"/>
      <c r="R61" s="37"/>
      <c r="S61" s="37"/>
      <c r="T61" s="37"/>
      <c r="U61" s="37"/>
      <c r="V61" s="37"/>
      <c r="W61" s="37"/>
      <c r="X61" s="37"/>
      <c r="Y61" s="37"/>
      <c r="Z61" s="37"/>
      <c r="AA61" s="37"/>
      <c r="AB61" s="37"/>
      <c r="AC61" s="37"/>
      <c r="AD61" s="37"/>
      <c r="AE61" s="37"/>
      <c r="AF61" s="37"/>
      <c r="AG61" s="37"/>
      <c r="AH61" s="37"/>
    </row>
    <row r="62" spans="1:34" x14ac:dyDescent="0.2">
      <c r="A62" s="37"/>
      <c r="B62" s="189"/>
      <c r="C62" s="190"/>
      <c r="D62" s="189"/>
      <c r="E62" s="189"/>
      <c r="F62" s="189"/>
      <c r="G62" s="195"/>
      <c r="H62" s="80" t="s">
        <v>1515</v>
      </c>
      <c r="I62" s="189"/>
      <c r="J62" s="190"/>
      <c r="K62" s="189"/>
      <c r="L62" s="189"/>
      <c r="M62" s="183">
        <v>250000000</v>
      </c>
      <c r="N62" s="37"/>
      <c r="O62" s="37"/>
      <c r="P62" s="37"/>
      <c r="Q62" s="37"/>
      <c r="R62" s="37"/>
      <c r="S62" s="37"/>
      <c r="T62" s="37"/>
      <c r="U62" s="37"/>
      <c r="V62" s="37"/>
      <c r="W62" s="37"/>
      <c r="X62" s="37"/>
      <c r="Y62" s="37"/>
      <c r="Z62" s="37"/>
      <c r="AA62" s="37"/>
      <c r="AB62" s="37"/>
      <c r="AC62" s="37"/>
      <c r="AD62" s="37"/>
      <c r="AE62" s="37"/>
      <c r="AF62" s="37"/>
      <c r="AG62" s="37"/>
      <c r="AH62" s="37"/>
    </row>
    <row r="63" spans="1:34" ht="25.5" x14ac:dyDescent="0.2">
      <c r="A63" s="37"/>
      <c r="B63" s="189"/>
      <c r="C63" s="190"/>
      <c r="D63" s="189"/>
      <c r="E63" s="189"/>
      <c r="F63" s="189"/>
      <c r="G63" s="195"/>
      <c r="H63" s="80" t="s">
        <v>1516</v>
      </c>
      <c r="I63" s="189"/>
      <c r="J63" s="190"/>
      <c r="K63" s="189"/>
      <c r="L63" s="189"/>
      <c r="M63" s="183">
        <v>250000000</v>
      </c>
      <c r="N63" s="37"/>
      <c r="O63" s="37"/>
      <c r="P63" s="37"/>
      <c r="Q63" s="37"/>
      <c r="R63" s="37"/>
      <c r="S63" s="37"/>
      <c r="T63" s="37"/>
      <c r="U63" s="37"/>
      <c r="V63" s="37"/>
      <c r="W63" s="37"/>
      <c r="X63" s="37"/>
      <c r="Y63" s="37"/>
      <c r="Z63" s="37"/>
      <c r="AA63" s="37"/>
      <c r="AB63" s="37"/>
      <c r="AC63" s="37"/>
      <c r="AD63" s="37"/>
      <c r="AE63" s="37"/>
      <c r="AF63" s="37"/>
      <c r="AG63" s="37"/>
      <c r="AH63" s="37"/>
    </row>
    <row r="64" spans="1:34" ht="76.5" x14ac:dyDescent="0.2">
      <c r="A64" s="37">
        <v>8</v>
      </c>
      <c r="B64" s="189"/>
      <c r="C64" s="190" t="s">
        <v>10</v>
      </c>
      <c r="D64" s="189"/>
      <c r="E64" s="189"/>
      <c r="F64" s="189"/>
      <c r="G64" s="195">
        <v>296127</v>
      </c>
      <c r="H64" s="176" t="s">
        <v>67</v>
      </c>
      <c r="I64" s="189"/>
      <c r="J64" s="190"/>
      <c r="K64" s="189"/>
      <c r="L64" s="189"/>
      <c r="M64" s="183">
        <f>+M65+M68+M636+M69+M67</f>
        <v>475342095530</v>
      </c>
      <c r="N64" s="37"/>
      <c r="O64" s="37"/>
      <c r="P64" s="37"/>
      <c r="Q64" s="37"/>
      <c r="R64" s="37"/>
      <c r="S64" s="37"/>
      <c r="T64" s="37"/>
      <c r="U64" s="37"/>
      <c r="V64" s="37"/>
      <c r="W64" s="37"/>
      <c r="X64" s="37"/>
      <c r="Y64" s="37"/>
      <c r="Z64" s="37"/>
      <c r="AA64" s="37"/>
      <c r="AB64" s="37"/>
      <c r="AC64" s="37"/>
      <c r="AD64" s="37"/>
      <c r="AE64" s="37"/>
      <c r="AF64" s="37"/>
      <c r="AG64" s="37"/>
      <c r="AH64" s="37"/>
    </row>
    <row r="65" spans="1:34" x14ac:dyDescent="0.2">
      <c r="A65" s="37"/>
      <c r="B65" s="189"/>
      <c r="C65" s="190"/>
      <c r="D65" s="189"/>
      <c r="E65" s="189"/>
      <c r="F65" s="189"/>
      <c r="G65" s="195"/>
      <c r="H65" s="80" t="s">
        <v>835</v>
      </c>
      <c r="I65" s="189"/>
      <c r="J65" s="190"/>
      <c r="K65" s="189"/>
      <c r="L65" s="189"/>
      <c r="M65" s="183">
        <f>3000000000+17250000+125000000-300000000</f>
        <v>2842250000</v>
      </c>
      <c r="N65" s="37"/>
      <c r="O65" s="37"/>
      <c r="P65" s="37"/>
      <c r="Q65" s="37"/>
      <c r="R65" s="37"/>
      <c r="S65" s="37"/>
      <c r="T65" s="37"/>
      <c r="U65" s="37"/>
      <c r="V65" s="37"/>
      <c r="W65" s="37"/>
      <c r="X65" s="37"/>
      <c r="Y65" s="37"/>
      <c r="Z65" s="37"/>
      <c r="AA65" s="37"/>
      <c r="AB65" s="37"/>
      <c r="AC65" s="37"/>
      <c r="AD65" s="37"/>
      <c r="AE65" s="37"/>
      <c r="AF65" s="37"/>
      <c r="AG65" s="37"/>
      <c r="AH65" s="37"/>
    </row>
    <row r="66" spans="1:34" x14ac:dyDescent="0.2">
      <c r="A66" s="37"/>
      <c r="B66" s="189"/>
      <c r="C66" s="190"/>
      <c r="D66" s="189"/>
      <c r="E66" s="189"/>
      <c r="F66" s="189"/>
      <c r="G66" s="195"/>
      <c r="I66" s="192"/>
      <c r="J66" s="193"/>
      <c r="K66" s="192"/>
      <c r="L66" s="192"/>
      <c r="M66" s="175"/>
      <c r="N66" s="37"/>
      <c r="O66" s="37"/>
      <c r="P66" s="37"/>
      <c r="Q66" s="37"/>
      <c r="R66" s="37"/>
      <c r="S66" s="37"/>
      <c r="T66" s="37"/>
      <c r="U66" s="37"/>
      <c r="V66" s="37"/>
      <c r="W66" s="37"/>
      <c r="X66" s="37"/>
      <c r="Y66" s="37"/>
      <c r="Z66" s="37"/>
      <c r="AA66" s="37"/>
      <c r="AB66" s="37"/>
      <c r="AC66" s="37"/>
      <c r="AD66" s="37"/>
      <c r="AE66" s="37"/>
      <c r="AF66" s="37"/>
      <c r="AG66" s="37"/>
      <c r="AH66" s="37"/>
    </row>
    <row r="67" spans="1:34" ht="25.5" x14ac:dyDescent="0.2">
      <c r="A67" s="37"/>
      <c r="B67" s="189"/>
      <c r="C67" s="190"/>
      <c r="D67" s="189"/>
      <c r="E67" s="189"/>
      <c r="F67" s="189"/>
      <c r="G67" s="195"/>
      <c r="H67" s="80" t="s">
        <v>1523</v>
      </c>
      <c r="I67" s="189"/>
      <c r="J67" s="190"/>
      <c r="K67" s="189"/>
      <c r="L67" s="189"/>
      <c r="M67" s="183">
        <f>12180691000-6280690702</f>
        <v>5900000298</v>
      </c>
      <c r="N67" s="37"/>
      <c r="O67" s="37"/>
      <c r="P67" s="37"/>
      <c r="Q67" s="37"/>
      <c r="R67" s="37"/>
      <c r="S67" s="37"/>
      <c r="T67" s="37"/>
      <c r="U67" s="37"/>
      <c r="V67" s="37"/>
      <c r="W67" s="37"/>
      <c r="X67" s="37"/>
      <c r="Y67" s="37"/>
      <c r="Z67" s="37"/>
      <c r="AA67" s="37"/>
      <c r="AB67" s="37"/>
      <c r="AC67" s="37"/>
      <c r="AD67" s="37"/>
      <c r="AE67" s="37"/>
      <c r="AF67" s="37"/>
      <c r="AG67" s="37"/>
      <c r="AH67" s="37"/>
    </row>
    <row r="68" spans="1:34" ht="34.9" customHeight="1" x14ac:dyDescent="0.2">
      <c r="A68" s="37"/>
      <c r="B68" s="189"/>
      <c r="C68" s="190"/>
      <c r="D68" s="189"/>
      <c r="E68" s="189"/>
      <c r="F68" s="189"/>
      <c r="G68" s="195"/>
      <c r="H68" s="80" t="s">
        <v>971</v>
      </c>
      <c r="I68" s="189"/>
      <c r="J68" s="190"/>
      <c r="K68" s="189"/>
      <c r="L68" s="189"/>
      <c r="M68" s="199">
        <f>5000000000+2400000000+353000000+2884062200+290814075+3432163200+381581599559+1298236909+245000000+289-4850000000</f>
        <v>392634876232</v>
      </c>
      <c r="N68" s="37"/>
      <c r="O68" s="37"/>
      <c r="P68" s="37"/>
      <c r="Q68" s="37"/>
      <c r="R68" s="37"/>
      <c r="S68" s="37"/>
      <c r="T68" s="37"/>
      <c r="U68" s="37"/>
      <c r="V68" s="37"/>
      <c r="W68" s="37"/>
      <c r="X68" s="37"/>
      <c r="Y68" s="37"/>
      <c r="Z68" s="37"/>
      <c r="AA68" s="37"/>
      <c r="AB68" s="37"/>
      <c r="AC68" s="37"/>
      <c r="AD68" s="37"/>
      <c r="AE68" s="37"/>
      <c r="AF68" s="37"/>
      <c r="AG68" s="37"/>
      <c r="AH68" s="37"/>
    </row>
    <row r="69" spans="1:34" ht="30.6" customHeight="1" x14ac:dyDescent="0.2">
      <c r="A69" s="37"/>
      <c r="B69" s="189"/>
      <c r="C69" s="190"/>
      <c r="D69" s="189"/>
      <c r="E69" s="189"/>
      <c r="F69" s="189"/>
      <c r="G69" s="195"/>
      <c r="H69" s="80" t="s">
        <v>142</v>
      </c>
      <c r="I69" s="189"/>
      <c r="J69" s="190"/>
      <c r="K69" s="189"/>
      <c r="L69" s="189"/>
      <c r="M69" s="198">
        <v>73964969000</v>
      </c>
      <c r="N69" s="37"/>
      <c r="O69" s="37"/>
      <c r="P69" s="37"/>
      <c r="Q69" s="37"/>
      <c r="R69" s="37"/>
      <c r="S69" s="37"/>
      <c r="T69" s="37"/>
      <c r="U69" s="37"/>
      <c r="V69" s="37"/>
      <c r="W69" s="37"/>
      <c r="X69" s="37"/>
      <c r="Y69" s="37"/>
      <c r="Z69" s="37"/>
      <c r="AA69" s="37"/>
      <c r="AB69" s="37"/>
      <c r="AC69" s="37"/>
      <c r="AD69" s="37"/>
      <c r="AE69" s="37"/>
      <c r="AF69" s="37"/>
      <c r="AG69" s="37"/>
      <c r="AH69" s="37"/>
    </row>
    <row r="70" spans="1:34" ht="93" customHeight="1" x14ac:dyDescent="0.2">
      <c r="A70" s="37"/>
      <c r="B70" s="189"/>
      <c r="C70" s="190" t="s">
        <v>1538</v>
      </c>
      <c r="D70" s="189"/>
      <c r="E70" s="189"/>
      <c r="F70" s="189"/>
      <c r="G70" s="195">
        <v>296127</v>
      </c>
      <c r="H70" s="176" t="s">
        <v>1537</v>
      </c>
      <c r="I70" s="189"/>
      <c r="J70" s="190"/>
      <c r="K70" s="189"/>
      <c r="L70" s="189"/>
      <c r="M70" s="198">
        <f>+M71</f>
        <v>4850000000</v>
      </c>
      <c r="N70" s="37"/>
      <c r="O70" s="37"/>
      <c r="P70" s="37"/>
      <c r="Q70" s="37"/>
      <c r="R70" s="37"/>
      <c r="S70" s="37"/>
      <c r="T70" s="37"/>
      <c r="U70" s="37"/>
      <c r="V70" s="37"/>
      <c r="W70" s="37"/>
      <c r="X70" s="37"/>
      <c r="Y70" s="37"/>
      <c r="Z70" s="37"/>
      <c r="AA70" s="37"/>
      <c r="AB70" s="37"/>
      <c r="AC70" s="37"/>
      <c r="AD70" s="37"/>
      <c r="AE70" s="37"/>
      <c r="AF70" s="37"/>
      <c r="AG70" s="37"/>
      <c r="AH70" s="37"/>
    </row>
    <row r="71" spans="1:34" ht="30.6" customHeight="1" x14ac:dyDescent="0.2">
      <c r="A71" s="37"/>
      <c r="B71" s="189"/>
      <c r="C71" s="190"/>
      <c r="D71" s="189"/>
      <c r="E71" s="189"/>
      <c r="F71" s="189"/>
      <c r="G71" s="195"/>
      <c r="H71" s="80" t="s">
        <v>971</v>
      </c>
      <c r="I71" s="189"/>
      <c r="J71" s="190"/>
      <c r="K71" s="189"/>
      <c r="L71" s="189"/>
      <c r="M71" s="198">
        <v>4850000000</v>
      </c>
      <c r="N71" s="37"/>
      <c r="O71" s="37"/>
      <c r="P71" s="37"/>
      <c r="Q71" s="37"/>
      <c r="R71" s="37"/>
      <c r="S71" s="37"/>
      <c r="T71" s="37"/>
      <c r="U71" s="37"/>
      <c r="V71" s="37"/>
      <c r="W71" s="37"/>
      <c r="X71" s="37"/>
      <c r="Y71" s="37"/>
      <c r="Z71" s="37"/>
      <c r="AA71" s="37"/>
      <c r="AB71" s="37"/>
      <c r="AC71" s="37"/>
      <c r="AD71" s="37"/>
      <c r="AE71" s="37"/>
      <c r="AF71" s="37"/>
      <c r="AG71" s="37"/>
      <c r="AH71" s="37"/>
    </row>
    <row r="72" spans="1:34" ht="88.15" customHeight="1" x14ac:dyDescent="0.2">
      <c r="A72" s="37"/>
      <c r="B72" s="189"/>
      <c r="C72" s="190" t="s">
        <v>1530</v>
      </c>
      <c r="D72" s="189"/>
      <c r="E72" s="189"/>
      <c r="F72" s="189"/>
      <c r="G72" s="195">
        <v>296127</v>
      </c>
      <c r="H72" s="176" t="s">
        <v>1529</v>
      </c>
      <c r="I72" s="189"/>
      <c r="J72" s="190"/>
      <c r="K72" s="189"/>
      <c r="L72" s="189"/>
      <c r="M72" s="198">
        <f>+M73+M74</f>
        <v>6360690702</v>
      </c>
      <c r="N72" s="37"/>
      <c r="O72" s="37"/>
      <c r="P72" s="37"/>
      <c r="Q72" s="37"/>
      <c r="R72" s="37"/>
      <c r="S72" s="37"/>
      <c r="T72" s="37"/>
      <c r="U72" s="37"/>
      <c r="V72" s="37"/>
      <c r="W72" s="37"/>
      <c r="X72" s="37"/>
      <c r="Y72" s="37"/>
      <c r="Z72" s="37"/>
      <c r="AA72" s="37"/>
      <c r="AB72" s="37"/>
      <c r="AC72" s="37"/>
      <c r="AD72" s="37"/>
      <c r="AE72" s="37"/>
      <c r="AF72" s="37"/>
      <c r="AG72" s="37"/>
      <c r="AH72" s="37"/>
    </row>
    <row r="73" spans="1:34" ht="30.6" customHeight="1" x14ac:dyDescent="0.2">
      <c r="A73" s="37"/>
      <c r="B73" s="189"/>
      <c r="C73" s="190"/>
      <c r="D73" s="189"/>
      <c r="E73" s="189"/>
      <c r="F73" s="189"/>
      <c r="G73" s="195"/>
      <c r="H73" s="80" t="s">
        <v>1524</v>
      </c>
      <c r="I73" s="189"/>
      <c r="J73" s="190"/>
      <c r="K73" s="189"/>
      <c r="L73" s="189"/>
      <c r="M73" s="183">
        <v>80000000</v>
      </c>
      <c r="N73" s="37"/>
      <c r="O73" s="37"/>
      <c r="P73" s="37"/>
      <c r="Q73" s="37"/>
      <c r="R73" s="37"/>
      <c r="S73" s="37"/>
      <c r="T73" s="37"/>
      <c r="U73" s="37"/>
      <c r="V73" s="37"/>
      <c r="W73" s="37"/>
      <c r="X73" s="37"/>
      <c r="Y73" s="37"/>
      <c r="Z73" s="37"/>
      <c r="AA73" s="37"/>
      <c r="AB73" s="37"/>
      <c r="AC73" s="37"/>
      <c r="AD73" s="37"/>
      <c r="AE73" s="37"/>
      <c r="AF73" s="37"/>
      <c r="AG73" s="37"/>
      <c r="AH73" s="37"/>
    </row>
    <row r="74" spans="1:34" ht="30.6" customHeight="1" x14ac:dyDescent="0.2">
      <c r="A74" s="37"/>
      <c r="B74" s="189"/>
      <c r="C74" s="190"/>
      <c r="D74" s="189"/>
      <c r="E74" s="189"/>
      <c r="F74" s="189"/>
      <c r="G74" s="195"/>
      <c r="H74" s="80" t="s">
        <v>1523</v>
      </c>
      <c r="I74" s="189"/>
      <c r="J74" s="190"/>
      <c r="K74" s="189"/>
      <c r="L74" s="189"/>
      <c r="M74" s="198">
        <v>6280690702</v>
      </c>
      <c r="N74" s="37"/>
      <c r="O74" s="37"/>
      <c r="P74" s="37"/>
      <c r="Q74" s="37"/>
      <c r="R74" s="37"/>
      <c r="S74" s="37"/>
      <c r="T74" s="37"/>
      <c r="U74" s="37"/>
      <c r="V74" s="37"/>
      <c r="W74" s="37"/>
      <c r="X74" s="37"/>
      <c r="Y74" s="37"/>
      <c r="Z74" s="37"/>
      <c r="AA74" s="37"/>
      <c r="AB74" s="37"/>
      <c r="AC74" s="37"/>
      <c r="AD74" s="37"/>
      <c r="AE74" s="37"/>
      <c r="AF74" s="37"/>
      <c r="AG74" s="37"/>
      <c r="AH74" s="37"/>
    </row>
    <row r="75" spans="1:34" ht="51" x14ac:dyDescent="0.2">
      <c r="A75" s="37">
        <v>8</v>
      </c>
      <c r="B75" s="189"/>
      <c r="C75" s="190" t="s">
        <v>1271</v>
      </c>
      <c r="D75" s="189"/>
      <c r="E75" s="189"/>
      <c r="F75" s="189"/>
      <c r="G75" s="195">
        <v>296129</v>
      </c>
      <c r="H75" s="80" t="s">
        <v>1269</v>
      </c>
      <c r="I75" s="189"/>
      <c r="J75" s="190"/>
      <c r="K75" s="189"/>
      <c r="L75" s="189"/>
      <c r="M75" s="183">
        <f>+M76</f>
        <v>200000000</v>
      </c>
      <c r="N75" s="37"/>
      <c r="O75" s="37"/>
      <c r="P75" s="37"/>
      <c r="Q75" s="37"/>
      <c r="R75" s="37"/>
      <c r="S75" s="37"/>
      <c r="T75" s="37"/>
      <c r="U75" s="37"/>
      <c r="V75" s="37"/>
      <c r="W75" s="37"/>
      <c r="X75" s="37"/>
      <c r="Y75" s="37"/>
      <c r="Z75" s="37"/>
      <c r="AA75" s="37"/>
      <c r="AB75" s="37"/>
      <c r="AC75" s="37"/>
      <c r="AD75" s="37"/>
      <c r="AE75" s="37"/>
      <c r="AF75" s="37"/>
      <c r="AG75" s="37"/>
      <c r="AH75" s="37"/>
    </row>
    <row r="76" spans="1:34" x14ac:dyDescent="0.2">
      <c r="A76" s="37">
        <v>9</v>
      </c>
      <c r="B76" s="189"/>
      <c r="C76" s="190"/>
      <c r="D76" s="189"/>
      <c r="E76" s="189"/>
      <c r="F76" s="189"/>
      <c r="G76" s="195"/>
      <c r="H76" s="80" t="s">
        <v>835</v>
      </c>
      <c r="I76" s="189"/>
      <c r="J76" s="190"/>
      <c r="K76" s="189"/>
      <c r="L76" s="189"/>
      <c r="M76" s="183">
        <v>200000000</v>
      </c>
      <c r="N76" s="37"/>
      <c r="O76" s="37"/>
      <c r="P76" s="37"/>
      <c r="Q76" s="37"/>
      <c r="R76" s="37"/>
      <c r="S76" s="37"/>
      <c r="T76" s="37"/>
      <c r="U76" s="37"/>
      <c r="V76" s="37"/>
      <c r="W76" s="37"/>
      <c r="X76" s="37"/>
      <c r="Y76" s="37"/>
      <c r="Z76" s="37"/>
      <c r="AA76" s="37"/>
      <c r="AB76" s="37"/>
      <c r="AC76" s="37"/>
      <c r="AD76" s="37"/>
      <c r="AE76" s="37"/>
      <c r="AF76" s="37"/>
      <c r="AG76" s="37"/>
      <c r="AH76" s="37"/>
    </row>
    <row r="77" spans="1:34" ht="38.25" x14ac:dyDescent="0.2">
      <c r="A77" s="37">
        <v>8</v>
      </c>
      <c r="B77" s="189"/>
      <c r="C77" s="190" t="s">
        <v>10</v>
      </c>
      <c r="D77" s="189"/>
      <c r="E77" s="189"/>
      <c r="F77" s="189"/>
      <c r="G77" s="195">
        <v>296129</v>
      </c>
      <c r="H77" s="80" t="s">
        <v>1311</v>
      </c>
      <c r="I77" s="189"/>
      <c r="J77" s="190"/>
      <c r="K77" s="189"/>
      <c r="L77" s="189"/>
      <c r="M77" s="183">
        <f>+M78</f>
        <v>2340678400</v>
      </c>
      <c r="N77" s="37"/>
      <c r="O77" s="37"/>
      <c r="P77" s="37"/>
      <c r="Q77" s="37"/>
      <c r="R77" s="37"/>
      <c r="S77" s="37"/>
      <c r="T77" s="37"/>
      <c r="U77" s="37"/>
      <c r="V77" s="37"/>
      <c r="W77" s="37"/>
      <c r="X77" s="37"/>
      <c r="Y77" s="37"/>
      <c r="Z77" s="37"/>
      <c r="AA77" s="37"/>
      <c r="AB77" s="37"/>
      <c r="AC77" s="37"/>
      <c r="AD77" s="37"/>
      <c r="AE77" s="37"/>
      <c r="AF77" s="37"/>
      <c r="AG77" s="37"/>
      <c r="AH77" s="37"/>
    </row>
    <row r="78" spans="1:34" x14ac:dyDescent="0.2">
      <c r="A78" s="37"/>
      <c r="B78" s="189"/>
      <c r="C78" s="190"/>
      <c r="D78" s="189"/>
      <c r="E78" s="189"/>
      <c r="F78" s="189"/>
      <c r="G78" s="195"/>
      <c r="H78" s="80" t="s">
        <v>835</v>
      </c>
      <c r="I78" s="189"/>
      <c r="J78" s="190"/>
      <c r="K78" s="189"/>
      <c r="L78" s="189"/>
      <c r="M78" s="183">
        <v>2340678400</v>
      </c>
      <c r="N78" s="37"/>
      <c r="O78" s="37"/>
      <c r="P78" s="37"/>
      <c r="Q78" s="37"/>
      <c r="R78" s="37"/>
      <c r="S78" s="37"/>
      <c r="T78" s="37"/>
      <c r="U78" s="37"/>
      <c r="V78" s="37"/>
      <c r="W78" s="37"/>
      <c r="X78" s="37"/>
      <c r="Y78" s="37"/>
      <c r="Z78" s="37"/>
      <c r="AA78" s="37"/>
      <c r="AB78" s="37"/>
      <c r="AC78" s="37"/>
      <c r="AD78" s="37"/>
      <c r="AE78" s="37"/>
      <c r="AF78" s="37"/>
      <c r="AG78" s="37"/>
      <c r="AH78" s="37"/>
    </row>
    <row r="79" spans="1:34" x14ac:dyDescent="0.2">
      <c r="A79" s="37"/>
      <c r="B79" s="189"/>
      <c r="C79" s="190"/>
      <c r="D79" s="189"/>
      <c r="E79" s="189"/>
      <c r="F79" s="189"/>
      <c r="G79" s="195"/>
      <c r="H79" s="80"/>
      <c r="I79" s="189"/>
      <c r="J79" s="190"/>
      <c r="K79" s="189"/>
      <c r="L79" s="189"/>
      <c r="M79" s="183"/>
      <c r="N79" s="37"/>
      <c r="O79" s="37"/>
      <c r="P79" s="37"/>
      <c r="Q79" s="37"/>
      <c r="R79" s="37"/>
      <c r="S79" s="37"/>
      <c r="T79" s="37"/>
      <c r="U79" s="37"/>
      <c r="V79" s="37"/>
      <c r="W79" s="37"/>
      <c r="X79" s="37"/>
      <c r="Y79" s="37"/>
      <c r="Z79" s="37"/>
      <c r="AA79" s="37"/>
      <c r="AB79" s="37"/>
      <c r="AC79" s="37"/>
      <c r="AD79" s="37"/>
      <c r="AE79" s="37"/>
      <c r="AF79" s="37"/>
      <c r="AG79" s="37"/>
      <c r="AH79" s="37"/>
    </row>
    <row r="80" spans="1:34" ht="38.25" x14ac:dyDescent="0.2">
      <c r="A80" s="37">
        <v>8</v>
      </c>
      <c r="B80" s="189"/>
      <c r="C80" s="190" t="s">
        <v>10</v>
      </c>
      <c r="D80" s="189"/>
      <c r="E80" s="189"/>
      <c r="F80" s="189"/>
      <c r="G80" s="195">
        <v>296131</v>
      </c>
      <c r="H80" s="80" t="s">
        <v>471</v>
      </c>
      <c r="I80" s="189"/>
      <c r="J80" s="190"/>
      <c r="K80" s="189"/>
      <c r="L80" s="189"/>
      <c r="M80" s="183">
        <f>+M81</f>
        <v>536000000</v>
      </c>
      <c r="N80" s="37"/>
      <c r="O80" s="37"/>
      <c r="P80" s="37"/>
      <c r="Q80" s="37"/>
      <c r="R80" s="37"/>
      <c r="S80" s="37"/>
      <c r="T80" s="37"/>
      <c r="U80" s="37"/>
      <c r="V80" s="37"/>
      <c r="W80" s="37"/>
      <c r="X80" s="37"/>
      <c r="Y80" s="37"/>
      <c r="Z80" s="37"/>
      <c r="AA80" s="37"/>
      <c r="AB80" s="37"/>
      <c r="AC80" s="37"/>
      <c r="AD80" s="37"/>
      <c r="AE80" s="37"/>
      <c r="AF80" s="37"/>
      <c r="AG80" s="37"/>
      <c r="AH80" s="37"/>
    </row>
    <row r="81" spans="1:34" x14ac:dyDescent="0.2">
      <c r="A81" s="37">
        <v>9</v>
      </c>
      <c r="B81" s="189"/>
      <c r="C81" s="190"/>
      <c r="D81" s="189"/>
      <c r="E81" s="189"/>
      <c r="F81" s="189"/>
      <c r="G81" s="195"/>
      <c r="H81" s="80" t="s">
        <v>835</v>
      </c>
      <c r="I81" s="189"/>
      <c r="J81" s="190"/>
      <c r="K81" s="189"/>
      <c r="L81" s="189"/>
      <c r="M81" s="183">
        <f>126000000+560000000-300000000+150000000</f>
        <v>536000000</v>
      </c>
      <c r="N81" s="37"/>
      <c r="O81" s="37"/>
      <c r="P81" s="37"/>
      <c r="Q81" s="37"/>
      <c r="R81" s="37"/>
      <c r="S81" s="37"/>
      <c r="T81" s="37"/>
      <c r="U81" s="37"/>
      <c r="V81" s="37"/>
      <c r="W81" s="37"/>
      <c r="X81" s="37"/>
      <c r="Y81" s="37"/>
      <c r="Z81" s="37"/>
      <c r="AA81" s="37"/>
      <c r="AB81" s="37"/>
      <c r="AC81" s="37"/>
      <c r="AD81" s="37"/>
      <c r="AE81" s="37"/>
      <c r="AF81" s="37"/>
      <c r="AG81" s="37"/>
      <c r="AH81" s="37"/>
    </row>
    <row r="82" spans="1:34" x14ac:dyDescent="0.2">
      <c r="A82" s="37"/>
      <c r="B82" s="189"/>
      <c r="C82" s="190"/>
      <c r="D82" s="189"/>
      <c r="E82" s="189"/>
      <c r="F82" s="189"/>
      <c r="G82" s="195"/>
      <c r="H82" s="80"/>
      <c r="I82" s="189"/>
      <c r="J82" s="190"/>
      <c r="K82" s="189"/>
      <c r="L82" s="189"/>
      <c r="M82" s="183"/>
      <c r="N82" s="37"/>
      <c r="O82" s="37"/>
      <c r="P82" s="37"/>
      <c r="Q82" s="37"/>
      <c r="R82" s="37"/>
      <c r="S82" s="37"/>
      <c r="T82" s="37"/>
      <c r="U82" s="37"/>
      <c r="V82" s="37"/>
      <c r="W82" s="37"/>
      <c r="X82" s="37"/>
      <c r="Y82" s="37"/>
      <c r="Z82" s="37"/>
      <c r="AA82" s="37"/>
      <c r="AB82" s="37"/>
      <c r="AC82" s="37"/>
      <c r="AD82" s="37"/>
      <c r="AE82" s="37"/>
      <c r="AF82" s="37"/>
      <c r="AG82" s="37"/>
      <c r="AH82" s="37"/>
    </row>
    <row r="83" spans="1:34" x14ac:dyDescent="0.2">
      <c r="A83" s="37">
        <v>4</v>
      </c>
      <c r="B83" s="189" t="s">
        <v>955</v>
      </c>
      <c r="C83" s="190"/>
      <c r="D83" s="189"/>
      <c r="E83" s="189"/>
      <c r="F83" s="189"/>
      <c r="G83" s="195"/>
      <c r="H83" s="173" t="s">
        <v>405</v>
      </c>
      <c r="I83" s="189"/>
      <c r="J83" s="190"/>
      <c r="K83" s="189"/>
      <c r="L83" s="189"/>
      <c r="M83" s="91">
        <f>+M93+M133</f>
        <v>22217931293</v>
      </c>
      <c r="N83" s="37"/>
      <c r="O83" s="37"/>
      <c r="P83" s="37"/>
      <c r="Q83" s="37"/>
      <c r="R83" s="37"/>
      <c r="S83" s="37"/>
      <c r="T83" s="37"/>
      <c r="U83" s="37"/>
      <c r="V83" s="37"/>
      <c r="W83" s="37"/>
      <c r="X83" s="37"/>
      <c r="Y83" s="37"/>
      <c r="Z83" s="37"/>
      <c r="AA83" s="37"/>
      <c r="AB83" s="37"/>
      <c r="AC83" s="37"/>
      <c r="AD83" s="37"/>
      <c r="AE83" s="37"/>
      <c r="AF83" s="37"/>
      <c r="AG83" s="37"/>
      <c r="AH83" s="37"/>
    </row>
    <row r="84" spans="1:34" ht="38.25" x14ac:dyDescent="0.2">
      <c r="A84" s="37">
        <v>5</v>
      </c>
      <c r="B84" s="189"/>
      <c r="C84" s="190"/>
      <c r="D84" s="189"/>
      <c r="E84" s="196">
        <v>35</v>
      </c>
      <c r="F84" s="189" t="s">
        <v>268</v>
      </c>
      <c r="G84" s="195"/>
      <c r="H84" s="80" t="s">
        <v>1014</v>
      </c>
      <c r="I84" s="197">
        <v>1.95</v>
      </c>
      <c r="J84" s="190" t="s">
        <v>440</v>
      </c>
      <c r="K84" s="196">
        <v>0</v>
      </c>
      <c r="L84" s="189" t="s">
        <v>1320</v>
      </c>
      <c r="M84" s="194"/>
      <c r="N84" s="37"/>
      <c r="O84" s="37"/>
      <c r="P84" s="37"/>
      <c r="Q84" s="37"/>
      <c r="R84" s="37"/>
      <c r="S84" s="37"/>
      <c r="T84" s="37"/>
      <c r="U84" s="37"/>
      <c r="V84" s="37"/>
      <c r="W84" s="37"/>
      <c r="X84" s="37"/>
      <c r="Y84" s="37"/>
      <c r="Z84" s="37"/>
      <c r="AA84" s="37"/>
      <c r="AB84" s="37"/>
      <c r="AC84" s="37"/>
      <c r="AD84" s="37"/>
      <c r="AE84" s="37"/>
      <c r="AF84" s="37"/>
      <c r="AG84" s="37"/>
      <c r="AH84" s="37"/>
    </row>
    <row r="85" spans="1:34" ht="25.5" x14ac:dyDescent="0.2">
      <c r="A85" s="37">
        <v>5</v>
      </c>
      <c r="B85" s="189"/>
      <c r="C85" s="190"/>
      <c r="D85" s="189"/>
      <c r="E85" s="196">
        <v>36</v>
      </c>
      <c r="F85" s="189" t="s">
        <v>268</v>
      </c>
      <c r="G85" s="195"/>
      <c r="H85" s="80" t="s">
        <v>49</v>
      </c>
      <c r="I85" s="196">
        <v>100</v>
      </c>
      <c r="J85" s="190" t="s">
        <v>572</v>
      </c>
      <c r="K85" s="196">
        <v>100</v>
      </c>
      <c r="L85" s="189" t="s">
        <v>1165</v>
      </c>
      <c r="M85" s="194"/>
      <c r="N85" s="37"/>
      <c r="O85" s="37"/>
      <c r="P85" s="37"/>
      <c r="Q85" s="37"/>
      <c r="R85" s="37"/>
      <c r="S85" s="37"/>
      <c r="T85" s="37"/>
      <c r="U85" s="37"/>
      <c r="V85" s="37"/>
      <c r="W85" s="37"/>
      <c r="X85" s="37"/>
      <c r="Y85" s="37"/>
      <c r="Z85" s="37"/>
      <c r="AA85" s="37"/>
      <c r="AB85" s="37"/>
      <c r="AC85" s="37"/>
      <c r="AD85" s="37"/>
      <c r="AE85" s="37"/>
      <c r="AF85" s="37"/>
      <c r="AG85" s="37"/>
      <c r="AH85" s="37"/>
    </row>
    <row r="86" spans="1:34" ht="25.5" x14ac:dyDescent="0.2">
      <c r="A86" s="37"/>
      <c r="B86" s="189"/>
      <c r="C86" s="190"/>
      <c r="D86" s="189"/>
      <c r="E86" s="196">
        <v>37</v>
      </c>
      <c r="F86" s="189" t="s">
        <v>268</v>
      </c>
      <c r="G86" s="195"/>
      <c r="H86" s="174" t="s">
        <v>918</v>
      </c>
      <c r="I86" s="197">
        <v>0.46</v>
      </c>
      <c r="J86" s="190" t="s">
        <v>440</v>
      </c>
      <c r="K86" s="196">
        <v>0</v>
      </c>
      <c r="L86" s="189" t="s">
        <v>1164</v>
      </c>
      <c r="M86" s="194"/>
      <c r="N86" s="37"/>
      <c r="O86" s="37"/>
      <c r="P86" s="37"/>
      <c r="Q86" s="37"/>
      <c r="R86" s="37"/>
      <c r="S86" s="37"/>
      <c r="T86" s="37"/>
      <c r="U86" s="37"/>
      <c r="V86" s="37"/>
      <c r="W86" s="37"/>
      <c r="X86" s="37"/>
      <c r="Y86" s="37"/>
      <c r="Z86" s="37"/>
      <c r="AA86" s="37"/>
      <c r="AB86" s="37"/>
      <c r="AC86" s="37"/>
      <c r="AD86" s="37"/>
      <c r="AE86" s="37"/>
      <c r="AF86" s="37"/>
      <c r="AG86" s="37"/>
      <c r="AH86" s="37"/>
    </row>
    <row r="87" spans="1:34" ht="38.25" x14ac:dyDescent="0.2">
      <c r="A87" s="37">
        <v>5</v>
      </c>
      <c r="B87" s="189"/>
      <c r="C87" s="190"/>
      <c r="D87" s="189"/>
      <c r="E87" s="196">
        <v>38</v>
      </c>
      <c r="F87" s="189" t="s">
        <v>268</v>
      </c>
      <c r="G87" s="195"/>
      <c r="H87" s="80" t="s">
        <v>53</v>
      </c>
      <c r="I87" s="196">
        <v>3</v>
      </c>
      <c r="J87" s="190" t="s">
        <v>76</v>
      </c>
      <c r="K87" s="196">
        <v>0</v>
      </c>
      <c r="L87" s="189" t="s">
        <v>301</v>
      </c>
      <c r="M87" s="194"/>
      <c r="N87" s="37"/>
      <c r="O87" s="37"/>
      <c r="P87" s="37"/>
      <c r="Q87" s="37"/>
      <c r="R87" s="37"/>
      <c r="S87" s="37"/>
      <c r="T87" s="37"/>
      <c r="U87" s="37"/>
      <c r="V87" s="37"/>
      <c r="W87" s="37"/>
      <c r="X87" s="37"/>
      <c r="Y87" s="37"/>
      <c r="Z87" s="37"/>
      <c r="AA87" s="37"/>
      <c r="AB87" s="37"/>
      <c r="AC87" s="37"/>
      <c r="AD87" s="37"/>
      <c r="AE87" s="37"/>
      <c r="AF87" s="37"/>
      <c r="AG87" s="37"/>
      <c r="AH87" s="37"/>
    </row>
    <row r="88" spans="1:34" ht="38.25" x14ac:dyDescent="0.2">
      <c r="A88" s="37"/>
      <c r="B88" s="189"/>
      <c r="C88" s="190"/>
      <c r="D88" s="189"/>
      <c r="E88" s="196">
        <v>75</v>
      </c>
      <c r="F88" s="189" t="s">
        <v>268</v>
      </c>
      <c r="G88" s="195"/>
      <c r="H88" s="80" t="s">
        <v>186</v>
      </c>
      <c r="I88" s="196">
        <v>3</v>
      </c>
      <c r="J88" s="190" t="s">
        <v>76</v>
      </c>
      <c r="K88" s="196">
        <v>0</v>
      </c>
      <c r="L88" s="189" t="s">
        <v>301</v>
      </c>
      <c r="M88" s="194"/>
      <c r="N88" s="37"/>
      <c r="O88" s="37"/>
      <c r="P88" s="37"/>
      <c r="Q88" s="37"/>
      <c r="R88" s="37"/>
      <c r="S88" s="37"/>
      <c r="T88" s="37"/>
      <c r="U88" s="37"/>
      <c r="V88" s="37"/>
      <c r="W88" s="37"/>
      <c r="X88" s="37"/>
      <c r="Y88" s="37"/>
      <c r="Z88" s="37"/>
      <c r="AA88" s="37"/>
      <c r="AB88" s="37"/>
      <c r="AC88" s="37"/>
      <c r="AD88" s="37"/>
      <c r="AE88" s="37"/>
      <c r="AF88" s="37"/>
      <c r="AG88" s="37"/>
      <c r="AH88" s="37"/>
    </row>
    <row r="89" spans="1:34" ht="25.5" x14ac:dyDescent="0.2">
      <c r="A89" s="37">
        <v>5</v>
      </c>
      <c r="B89" s="189"/>
      <c r="C89" s="190"/>
      <c r="D89" s="189"/>
      <c r="E89" s="196">
        <v>76</v>
      </c>
      <c r="F89" s="189" t="s">
        <v>268</v>
      </c>
      <c r="G89" s="195"/>
      <c r="H89" s="80" t="s">
        <v>309</v>
      </c>
      <c r="I89" s="196">
        <v>6</v>
      </c>
      <c r="J89" s="190" t="s">
        <v>76</v>
      </c>
      <c r="K89" s="196">
        <v>0</v>
      </c>
      <c r="L89" s="189" t="s">
        <v>422</v>
      </c>
      <c r="M89" s="194"/>
      <c r="N89" s="37"/>
      <c r="O89" s="37"/>
      <c r="P89" s="37"/>
      <c r="Q89" s="37"/>
      <c r="R89" s="37"/>
      <c r="S89" s="37"/>
      <c r="T89" s="37"/>
      <c r="U89" s="37"/>
      <c r="V89" s="37"/>
      <c r="W89" s="37"/>
      <c r="X89" s="37"/>
      <c r="Y89" s="37"/>
      <c r="Z89" s="37"/>
      <c r="AA89" s="37"/>
      <c r="AB89" s="37"/>
      <c r="AC89" s="37"/>
      <c r="AD89" s="37"/>
      <c r="AE89" s="37"/>
      <c r="AF89" s="37"/>
      <c r="AG89" s="37"/>
      <c r="AH89" s="37"/>
    </row>
    <row r="90" spans="1:34" ht="38.25" x14ac:dyDescent="0.2">
      <c r="A90" s="37">
        <v>5</v>
      </c>
      <c r="B90" s="189"/>
      <c r="C90" s="190"/>
      <c r="D90" s="189"/>
      <c r="E90" s="196">
        <v>77</v>
      </c>
      <c r="F90" s="189" t="s">
        <v>268</v>
      </c>
      <c r="G90" s="195"/>
      <c r="H90" s="80" t="s">
        <v>686</v>
      </c>
      <c r="I90" s="196">
        <v>100</v>
      </c>
      <c r="J90" s="190" t="s">
        <v>849</v>
      </c>
      <c r="K90" s="196">
        <v>0</v>
      </c>
      <c r="L90" s="189" t="s">
        <v>1209</v>
      </c>
      <c r="M90" s="194"/>
      <c r="N90" s="37"/>
      <c r="O90" s="37"/>
      <c r="P90" s="37"/>
      <c r="Q90" s="37"/>
      <c r="R90" s="37"/>
      <c r="S90" s="37"/>
      <c r="T90" s="37"/>
      <c r="U90" s="37"/>
      <c r="V90" s="37"/>
      <c r="W90" s="37"/>
      <c r="X90" s="37"/>
      <c r="Y90" s="37"/>
      <c r="Z90" s="37"/>
      <c r="AA90" s="37"/>
      <c r="AB90" s="37"/>
      <c r="AC90" s="37"/>
      <c r="AD90" s="37"/>
      <c r="AE90" s="37"/>
      <c r="AF90" s="37"/>
      <c r="AG90" s="37"/>
      <c r="AH90" s="37"/>
    </row>
    <row r="91" spans="1:34" ht="38.25" x14ac:dyDescent="0.2">
      <c r="A91" s="37">
        <v>5</v>
      </c>
      <c r="B91" s="189"/>
      <c r="C91" s="190"/>
      <c r="D91" s="189"/>
      <c r="E91" s="196">
        <v>78</v>
      </c>
      <c r="F91" s="189" t="s">
        <v>268</v>
      </c>
      <c r="G91" s="195"/>
      <c r="H91" s="80" t="s">
        <v>854</v>
      </c>
      <c r="I91" s="197">
        <v>1.95</v>
      </c>
      <c r="J91" s="190" t="s">
        <v>440</v>
      </c>
      <c r="K91" s="196" t="s">
        <v>1321</v>
      </c>
      <c r="L91" s="189" t="s">
        <v>1320</v>
      </c>
      <c r="M91" s="194"/>
      <c r="N91" s="37"/>
      <c r="O91" s="37"/>
      <c r="P91" s="37"/>
      <c r="Q91" s="37"/>
      <c r="R91" s="37"/>
      <c r="S91" s="37"/>
      <c r="T91" s="37"/>
      <c r="U91" s="37"/>
      <c r="V91" s="37"/>
      <c r="W91" s="37"/>
      <c r="X91" s="37"/>
      <c r="Y91" s="37"/>
      <c r="Z91" s="37"/>
      <c r="AA91" s="37"/>
      <c r="AB91" s="37"/>
      <c r="AC91" s="37"/>
      <c r="AD91" s="37"/>
      <c r="AE91" s="37"/>
      <c r="AF91" s="37"/>
      <c r="AG91" s="37"/>
      <c r="AH91" s="37"/>
    </row>
    <row r="92" spans="1:34" x14ac:dyDescent="0.2">
      <c r="A92" s="37">
        <v>5</v>
      </c>
      <c r="B92" s="189"/>
      <c r="C92" s="190"/>
      <c r="D92" s="189"/>
      <c r="E92" s="175"/>
      <c r="F92" s="175"/>
      <c r="G92" s="175"/>
      <c r="H92" s="175"/>
      <c r="I92" s="175"/>
      <c r="J92" s="175"/>
      <c r="K92" s="175"/>
      <c r="L92" s="175"/>
      <c r="M92" s="194"/>
      <c r="N92" s="37"/>
      <c r="O92" s="37"/>
      <c r="P92" s="37"/>
      <c r="Q92" s="37"/>
      <c r="R92" s="37"/>
      <c r="S92" s="37"/>
      <c r="T92" s="37"/>
      <c r="U92" s="37"/>
      <c r="V92" s="37"/>
      <c r="W92" s="37"/>
      <c r="X92" s="37"/>
      <c r="Y92" s="37"/>
      <c r="Z92" s="37"/>
      <c r="AA92" s="37"/>
      <c r="AB92" s="37"/>
      <c r="AC92" s="37"/>
      <c r="AD92" s="37"/>
      <c r="AE92" s="37"/>
      <c r="AF92" s="37"/>
      <c r="AG92" s="37"/>
      <c r="AH92" s="37"/>
    </row>
    <row r="93" spans="1:34" x14ac:dyDescent="0.2">
      <c r="A93" s="37">
        <v>6</v>
      </c>
      <c r="B93" s="189" t="s">
        <v>497</v>
      </c>
      <c r="C93" s="190"/>
      <c r="D93" s="189"/>
      <c r="E93" s="189"/>
      <c r="F93" s="189"/>
      <c r="G93" s="195"/>
      <c r="H93" s="173" t="s">
        <v>316</v>
      </c>
      <c r="I93" s="189"/>
      <c r="J93" s="190"/>
      <c r="K93" s="189"/>
      <c r="L93" s="189"/>
      <c r="M93" s="91">
        <f>+M108+M110+M114+M116+M120+M122+M124+M129+M131+M127+M112+M118</f>
        <v>22072931293</v>
      </c>
      <c r="N93" s="37"/>
      <c r="O93" s="37"/>
      <c r="P93" s="37"/>
      <c r="Q93" s="37"/>
      <c r="R93" s="37"/>
      <c r="S93" s="37"/>
      <c r="T93" s="37"/>
      <c r="U93" s="37"/>
      <c r="V93" s="37"/>
      <c r="W93" s="37"/>
      <c r="X93" s="37"/>
      <c r="Y93" s="37"/>
      <c r="Z93" s="37"/>
      <c r="AA93" s="37"/>
      <c r="AB93" s="37"/>
      <c r="AC93" s="37"/>
      <c r="AD93" s="37"/>
      <c r="AE93" s="37"/>
      <c r="AF93" s="37"/>
      <c r="AG93" s="37"/>
      <c r="AH93" s="37"/>
    </row>
    <row r="94" spans="1:34" ht="38.25" x14ac:dyDescent="0.2">
      <c r="A94" s="37"/>
      <c r="B94" s="189"/>
      <c r="C94" s="190"/>
      <c r="D94" s="189" t="s">
        <v>573</v>
      </c>
      <c r="E94" s="196">
        <v>84</v>
      </c>
      <c r="F94" s="189" t="s">
        <v>1080</v>
      </c>
      <c r="G94" s="195"/>
      <c r="H94" s="80" t="s">
        <v>454</v>
      </c>
      <c r="I94" s="197">
        <v>5.8</v>
      </c>
      <c r="J94" s="190" t="s">
        <v>440</v>
      </c>
      <c r="K94" s="196" t="s">
        <v>1316</v>
      </c>
      <c r="L94" s="189" t="s">
        <v>1316</v>
      </c>
      <c r="M94" s="91"/>
      <c r="N94" s="37"/>
      <c r="O94" s="37"/>
      <c r="P94" s="37"/>
      <c r="Q94" s="37"/>
      <c r="R94" s="37"/>
      <c r="S94" s="37"/>
      <c r="T94" s="37"/>
      <c r="U94" s="37"/>
      <c r="V94" s="37"/>
      <c r="W94" s="37"/>
      <c r="X94" s="37"/>
      <c r="Y94" s="37"/>
      <c r="Z94" s="37"/>
      <c r="AA94" s="37"/>
      <c r="AB94" s="37"/>
      <c r="AC94" s="37"/>
      <c r="AD94" s="37"/>
      <c r="AE94" s="37"/>
      <c r="AF94" s="37"/>
      <c r="AG94" s="37"/>
      <c r="AH94" s="37"/>
    </row>
    <row r="95" spans="1:34" ht="25.5" x14ac:dyDescent="0.2">
      <c r="A95" s="37"/>
      <c r="B95" s="189"/>
      <c r="C95" s="190"/>
      <c r="D95" s="189" t="s">
        <v>485</v>
      </c>
      <c r="E95" s="196">
        <v>85</v>
      </c>
      <c r="F95" s="189" t="s">
        <v>1080</v>
      </c>
      <c r="G95" s="195"/>
      <c r="H95" s="80" t="s">
        <v>860</v>
      </c>
      <c r="I95" s="196">
        <v>1</v>
      </c>
      <c r="J95" s="190" t="s">
        <v>190</v>
      </c>
      <c r="K95" s="196">
        <v>1</v>
      </c>
      <c r="L95" s="189" t="s">
        <v>301</v>
      </c>
      <c r="M95" s="91"/>
      <c r="N95" s="37"/>
      <c r="O95" s="37"/>
      <c r="P95" s="37"/>
      <c r="Q95" s="37"/>
      <c r="R95" s="37"/>
      <c r="S95" s="37"/>
      <c r="T95" s="37"/>
      <c r="U95" s="37"/>
      <c r="V95" s="37"/>
      <c r="W95" s="37"/>
      <c r="X95" s="37"/>
      <c r="Y95" s="37"/>
      <c r="Z95" s="37"/>
      <c r="AA95" s="37"/>
      <c r="AB95" s="37"/>
      <c r="AC95" s="37"/>
      <c r="AD95" s="37"/>
      <c r="AE95" s="37"/>
      <c r="AF95" s="37"/>
      <c r="AG95" s="37"/>
      <c r="AH95" s="37"/>
    </row>
    <row r="96" spans="1:34" ht="25.5" x14ac:dyDescent="0.2">
      <c r="A96" s="37"/>
      <c r="B96" s="189"/>
      <c r="C96" s="190"/>
      <c r="D96" s="189" t="s">
        <v>961</v>
      </c>
      <c r="E96" s="196">
        <v>86</v>
      </c>
      <c r="F96" s="189" t="s">
        <v>1080</v>
      </c>
      <c r="G96" s="195"/>
      <c r="H96" s="177" t="s">
        <v>1081</v>
      </c>
      <c r="I96" s="196">
        <v>3000</v>
      </c>
      <c r="J96" s="190" t="s">
        <v>565</v>
      </c>
      <c r="K96" s="196">
        <v>1780</v>
      </c>
      <c r="L96" s="196">
        <v>1000</v>
      </c>
      <c r="M96" s="91"/>
      <c r="N96" s="37"/>
      <c r="O96" s="37"/>
      <c r="P96" s="37"/>
      <c r="Q96" s="37"/>
      <c r="R96" s="37"/>
      <c r="S96" s="37"/>
      <c r="T96" s="37"/>
      <c r="U96" s="37"/>
      <c r="V96" s="37"/>
      <c r="W96" s="37"/>
      <c r="X96" s="37"/>
      <c r="Y96" s="37"/>
      <c r="Z96" s="37"/>
      <c r="AA96" s="37"/>
      <c r="AB96" s="37"/>
      <c r="AC96" s="37"/>
      <c r="AD96" s="37"/>
      <c r="AE96" s="37"/>
      <c r="AF96" s="37"/>
      <c r="AG96" s="37"/>
      <c r="AH96" s="37"/>
    </row>
    <row r="97" spans="1:34" ht="38.25" x14ac:dyDescent="0.2">
      <c r="A97" s="37"/>
      <c r="B97" s="189"/>
      <c r="C97" s="190"/>
      <c r="D97" s="189" t="s">
        <v>1170</v>
      </c>
      <c r="E97" s="196">
        <v>87</v>
      </c>
      <c r="F97" s="189" t="s">
        <v>1080</v>
      </c>
      <c r="G97" s="195"/>
      <c r="H97" s="80" t="s">
        <v>111</v>
      </c>
      <c r="I97" s="196">
        <v>350</v>
      </c>
      <c r="J97" s="190" t="s">
        <v>195</v>
      </c>
      <c r="K97" s="196">
        <v>0</v>
      </c>
      <c r="L97" s="196">
        <v>120</v>
      </c>
      <c r="M97" s="91"/>
      <c r="N97" s="37"/>
      <c r="O97" s="37"/>
      <c r="P97" s="37"/>
      <c r="Q97" s="37"/>
      <c r="R97" s="37"/>
      <c r="S97" s="37"/>
      <c r="T97" s="37"/>
      <c r="U97" s="37"/>
      <c r="V97" s="37"/>
      <c r="W97" s="37"/>
      <c r="X97" s="37"/>
      <c r="Y97" s="37"/>
      <c r="Z97" s="37"/>
      <c r="AA97" s="37"/>
      <c r="AB97" s="37"/>
      <c r="AC97" s="37"/>
      <c r="AD97" s="37"/>
      <c r="AE97" s="37"/>
      <c r="AF97" s="37"/>
      <c r="AG97" s="37"/>
      <c r="AH97" s="37"/>
    </row>
    <row r="98" spans="1:34" ht="51" x14ac:dyDescent="0.2">
      <c r="A98" s="37"/>
      <c r="B98" s="189"/>
      <c r="C98" s="190"/>
      <c r="D98" s="189" t="s">
        <v>573</v>
      </c>
      <c r="E98" s="196">
        <v>88</v>
      </c>
      <c r="F98" s="189" t="s">
        <v>1080</v>
      </c>
      <c r="G98" s="195"/>
      <c r="H98" s="80" t="s">
        <v>802</v>
      </c>
      <c r="I98" s="196">
        <v>30</v>
      </c>
      <c r="J98" s="190" t="s">
        <v>945</v>
      </c>
      <c r="K98" s="196">
        <v>7</v>
      </c>
      <c r="L98" s="189" t="s">
        <v>114</v>
      </c>
      <c r="M98" s="91"/>
      <c r="N98" s="37"/>
      <c r="O98" s="37"/>
      <c r="P98" s="37"/>
      <c r="Q98" s="37"/>
      <c r="R98" s="37"/>
      <c r="S98" s="37"/>
      <c r="T98" s="37"/>
      <c r="U98" s="37"/>
      <c r="V98" s="37"/>
      <c r="W98" s="37"/>
      <c r="X98" s="37"/>
      <c r="Y98" s="37"/>
      <c r="Z98" s="37"/>
      <c r="AA98" s="37"/>
      <c r="AB98" s="37"/>
      <c r="AC98" s="37"/>
      <c r="AD98" s="37"/>
      <c r="AE98" s="37"/>
      <c r="AF98" s="37"/>
      <c r="AG98" s="37"/>
      <c r="AH98" s="37"/>
    </row>
    <row r="99" spans="1:34" ht="63.75" x14ac:dyDescent="0.2">
      <c r="A99" s="37"/>
      <c r="B99" s="189"/>
      <c r="C99" s="190"/>
      <c r="D99" s="189" t="s">
        <v>573</v>
      </c>
      <c r="E99" s="196">
        <v>89</v>
      </c>
      <c r="F99" s="189" t="s">
        <v>1080</v>
      </c>
      <c r="G99" s="195"/>
      <c r="H99" s="176" t="s">
        <v>470</v>
      </c>
      <c r="I99" s="196">
        <v>15</v>
      </c>
      <c r="J99" s="190" t="s">
        <v>945</v>
      </c>
      <c r="K99" s="196">
        <v>4</v>
      </c>
      <c r="L99" s="189" t="s">
        <v>841</v>
      </c>
      <c r="M99" s="91"/>
      <c r="N99" s="37"/>
      <c r="O99" s="37"/>
      <c r="P99" s="37"/>
      <c r="Q99" s="37"/>
      <c r="R99" s="37"/>
      <c r="S99" s="37"/>
      <c r="T99" s="37"/>
      <c r="U99" s="37"/>
      <c r="V99" s="37"/>
      <c r="W99" s="37"/>
      <c r="X99" s="37"/>
      <c r="Y99" s="37"/>
      <c r="Z99" s="37"/>
      <c r="AA99" s="37"/>
      <c r="AB99" s="37"/>
      <c r="AC99" s="37"/>
      <c r="AD99" s="37"/>
      <c r="AE99" s="37"/>
      <c r="AF99" s="37"/>
      <c r="AG99" s="37"/>
      <c r="AH99" s="37"/>
    </row>
    <row r="100" spans="1:34" ht="63.75" x14ac:dyDescent="0.2">
      <c r="A100" s="37"/>
      <c r="B100" s="189"/>
      <c r="C100" s="190"/>
      <c r="D100" s="189" t="s">
        <v>201</v>
      </c>
      <c r="E100" s="196">
        <v>90</v>
      </c>
      <c r="F100" s="189" t="s">
        <v>1080</v>
      </c>
      <c r="G100" s="195"/>
      <c r="H100" s="176" t="s">
        <v>438</v>
      </c>
      <c r="I100" s="196">
        <v>30</v>
      </c>
      <c r="J100" s="190" t="s">
        <v>945</v>
      </c>
      <c r="K100" s="196">
        <v>51</v>
      </c>
      <c r="L100" s="189" t="s">
        <v>1315</v>
      </c>
      <c r="M100" s="91"/>
      <c r="N100" s="37"/>
      <c r="O100" s="37"/>
      <c r="P100" s="37"/>
      <c r="Q100" s="37"/>
      <c r="R100" s="37"/>
      <c r="S100" s="37"/>
      <c r="T100" s="37"/>
      <c r="U100" s="37"/>
      <c r="V100" s="37"/>
      <c r="W100" s="37"/>
      <c r="X100" s="37"/>
      <c r="Y100" s="37"/>
      <c r="Z100" s="37"/>
      <c r="AA100" s="37"/>
      <c r="AB100" s="37"/>
      <c r="AC100" s="37"/>
      <c r="AD100" s="37"/>
      <c r="AE100" s="37"/>
      <c r="AF100" s="37"/>
      <c r="AG100" s="37"/>
      <c r="AH100" s="37"/>
    </row>
    <row r="101" spans="1:34" ht="38.25" x14ac:dyDescent="0.2">
      <c r="A101" s="37"/>
      <c r="B101" s="189"/>
      <c r="C101" s="190"/>
      <c r="D101" s="189" t="s">
        <v>573</v>
      </c>
      <c r="E101" s="196">
        <v>91</v>
      </c>
      <c r="F101" s="189" t="s">
        <v>1080</v>
      </c>
      <c r="G101" s="195"/>
      <c r="H101" s="80" t="s">
        <v>646</v>
      </c>
      <c r="I101" s="196">
        <v>72</v>
      </c>
      <c r="J101" s="190" t="s">
        <v>945</v>
      </c>
      <c r="K101" s="196">
        <v>10</v>
      </c>
      <c r="L101" s="189" t="s">
        <v>1261</v>
      </c>
      <c r="M101" s="91"/>
      <c r="N101" s="37"/>
      <c r="O101" s="37"/>
      <c r="P101" s="37"/>
      <c r="Q101" s="37"/>
      <c r="R101" s="37"/>
      <c r="S101" s="37"/>
      <c r="T101" s="37"/>
      <c r="U101" s="37"/>
      <c r="V101" s="37"/>
      <c r="W101" s="37"/>
      <c r="X101" s="37"/>
      <c r="Y101" s="37"/>
      <c r="Z101" s="37"/>
      <c r="AA101" s="37"/>
      <c r="AB101" s="37"/>
      <c r="AC101" s="37"/>
      <c r="AD101" s="37"/>
      <c r="AE101" s="37"/>
      <c r="AF101" s="37"/>
      <c r="AG101" s="37"/>
      <c r="AH101" s="37"/>
    </row>
    <row r="102" spans="1:34" ht="38.25" x14ac:dyDescent="0.2">
      <c r="A102" s="37"/>
      <c r="B102" s="189"/>
      <c r="C102" s="190"/>
      <c r="D102" s="189" t="s">
        <v>573</v>
      </c>
      <c r="E102" s="196">
        <v>92</v>
      </c>
      <c r="F102" s="189" t="s">
        <v>1080</v>
      </c>
      <c r="G102" s="195"/>
      <c r="H102" s="80" t="s">
        <v>1357</v>
      </c>
      <c r="I102" s="196">
        <v>2</v>
      </c>
      <c r="J102" s="190" t="s">
        <v>898</v>
      </c>
      <c r="K102" s="196">
        <v>1</v>
      </c>
      <c r="L102" s="189" t="s">
        <v>301</v>
      </c>
      <c r="M102" s="91"/>
      <c r="N102" s="37"/>
      <c r="O102" s="37"/>
      <c r="P102" s="37"/>
      <c r="Q102" s="37"/>
      <c r="R102" s="37"/>
      <c r="S102" s="37"/>
      <c r="T102" s="37"/>
      <c r="U102" s="37"/>
      <c r="V102" s="37"/>
      <c r="W102" s="37"/>
      <c r="X102" s="37"/>
      <c r="Y102" s="37"/>
      <c r="Z102" s="37"/>
      <c r="AA102" s="37"/>
      <c r="AB102" s="37"/>
      <c r="AC102" s="37"/>
      <c r="AD102" s="37"/>
      <c r="AE102" s="37"/>
      <c r="AF102" s="37"/>
      <c r="AG102" s="37"/>
      <c r="AH102" s="37"/>
    </row>
    <row r="103" spans="1:34" ht="51" x14ac:dyDescent="0.2">
      <c r="A103" s="37"/>
      <c r="B103" s="189"/>
      <c r="C103" s="190"/>
      <c r="D103" s="189" t="s">
        <v>573</v>
      </c>
      <c r="E103" s="196">
        <v>93</v>
      </c>
      <c r="F103" s="189" t="s">
        <v>1080</v>
      </c>
      <c r="G103" s="195"/>
      <c r="H103" s="177" t="s">
        <v>1082</v>
      </c>
      <c r="I103" s="196">
        <v>100</v>
      </c>
      <c r="J103" s="190" t="s">
        <v>804</v>
      </c>
      <c r="K103" s="196">
        <v>100</v>
      </c>
      <c r="L103" s="189" t="s">
        <v>1165</v>
      </c>
      <c r="M103" s="91"/>
      <c r="N103" s="37"/>
      <c r="O103" s="37"/>
      <c r="P103" s="37"/>
      <c r="Q103" s="37"/>
      <c r="R103" s="37"/>
      <c r="S103" s="37"/>
      <c r="T103" s="37"/>
      <c r="U103" s="37"/>
      <c r="V103" s="37"/>
      <c r="W103" s="37"/>
      <c r="X103" s="37"/>
      <c r="Y103" s="37"/>
      <c r="Z103" s="37"/>
      <c r="AA103" s="37"/>
      <c r="AB103" s="37"/>
      <c r="AC103" s="37"/>
      <c r="AD103" s="37"/>
      <c r="AE103" s="37"/>
      <c r="AF103" s="37"/>
      <c r="AG103" s="37"/>
      <c r="AH103" s="37"/>
    </row>
    <row r="104" spans="1:34" ht="38.25" x14ac:dyDescent="0.2">
      <c r="A104" s="37"/>
      <c r="B104" s="189"/>
      <c r="C104" s="190"/>
      <c r="D104" s="189" t="s">
        <v>986</v>
      </c>
      <c r="E104" s="196">
        <v>95</v>
      </c>
      <c r="F104" s="189" t="s">
        <v>1080</v>
      </c>
      <c r="G104" s="195"/>
      <c r="H104" s="80" t="s">
        <v>543</v>
      </c>
      <c r="I104" s="196">
        <v>221817</v>
      </c>
      <c r="J104" s="190" t="s">
        <v>816</v>
      </c>
      <c r="K104" s="196">
        <v>100651</v>
      </c>
      <c r="L104" s="196">
        <v>55510</v>
      </c>
      <c r="M104" s="194"/>
      <c r="N104" s="37"/>
      <c r="O104" s="37"/>
      <c r="P104" s="37"/>
      <c r="Q104" s="37"/>
      <c r="R104" s="37"/>
      <c r="S104" s="37"/>
      <c r="T104" s="37"/>
      <c r="U104" s="37"/>
      <c r="V104" s="37"/>
      <c r="W104" s="37"/>
      <c r="X104" s="37"/>
      <c r="Y104" s="37"/>
      <c r="Z104" s="37"/>
      <c r="AA104" s="37"/>
      <c r="AB104" s="37"/>
      <c r="AC104" s="37"/>
      <c r="AD104" s="37"/>
      <c r="AE104" s="37"/>
      <c r="AF104" s="37"/>
      <c r="AG104" s="37"/>
      <c r="AH104" s="37"/>
    </row>
    <row r="105" spans="1:34" ht="25.5" x14ac:dyDescent="0.2">
      <c r="A105" s="37"/>
      <c r="B105" s="189"/>
      <c r="C105" s="190"/>
      <c r="D105" s="189" t="s">
        <v>573</v>
      </c>
      <c r="E105" s="196">
        <v>104</v>
      </c>
      <c r="F105" s="189" t="s">
        <v>1080</v>
      </c>
      <c r="G105" s="195"/>
      <c r="H105" s="176" t="s">
        <v>1358</v>
      </c>
      <c r="I105" s="196">
        <v>5</v>
      </c>
      <c r="J105" s="190" t="s">
        <v>935</v>
      </c>
      <c r="K105" s="196">
        <v>0</v>
      </c>
      <c r="L105" s="189" t="s">
        <v>1025</v>
      </c>
      <c r="M105" s="194"/>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ht="38.25" x14ac:dyDescent="0.2">
      <c r="A106" s="37">
        <v>7</v>
      </c>
      <c r="B106" s="189"/>
      <c r="C106" s="190"/>
      <c r="D106" s="189" t="s">
        <v>573</v>
      </c>
      <c r="E106" s="196">
        <v>105</v>
      </c>
      <c r="F106" s="189" t="s">
        <v>319</v>
      </c>
      <c r="G106" s="195"/>
      <c r="H106" s="80" t="s">
        <v>735</v>
      </c>
      <c r="I106" s="196">
        <v>1</v>
      </c>
      <c r="J106" s="190" t="s">
        <v>367</v>
      </c>
      <c r="K106" s="196">
        <v>0</v>
      </c>
      <c r="L106" s="189" t="s">
        <v>301</v>
      </c>
      <c r="M106" s="194"/>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37">
        <v>7</v>
      </c>
      <c r="B107" s="189"/>
      <c r="C107" s="190"/>
      <c r="D107" s="175"/>
      <c r="E107" s="175"/>
      <c r="F107" s="175"/>
      <c r="G107" s="175"/>
      <c r="H107" s="175"/>
      <c r="I107" s="175"/>
      <c r="J107" s="175"/>
      <c r="K107" s="175"/>
      <c r="L107" s="175"/>
      <c r="M107" s="194"/>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ht="38.25" x14ac:dyDescent="0.2">
      <c r="A108" s="37">
        <v>8</v>
      </c>
      <c r="B108" s="189"/>
      <c r="C108" s="190" t="s">
        <v>10</v>
      </c>
      <c r="D108" s="189"/>
      <c r="E108" s="189"/>
      <c r="F108" s="189"/>
      <c r="G108" s="195">
        <v>296119</v>
      </c>
      <c r="H108" s="174" t="s">
        <v>228</v>
      </c>
      <c r="I108" s="189"/>
      <c r="J108" s="190"/>
      <c r="K108" s="189"/>
      <c r="L108" s="189"/>
      <c r="M108" s="183">
        <f>+M109</f>
        <v>500000000</v>
      </c>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37">
        <v>9</v>
      </c>
      <c r="B109" s="189"/>
      <c r="C109" s="190"/>
      <c r="D109" s="189"/>
      <c r="E109" s="189"/>
      <c r="F109" s="189"/>
      <c r="G109" s="195"/>
      <c r="H109" s="80" t="s">
        <v>835</v>
      </c>
      <c r="I109" s="189"/>
      <c r="J109" s="190"/>
      <c r="K109" s="189"/>
      <c r="L109" s="189"/>
      <c r="M109" s="183">
        <f>300000000+300000000-100000000</f>
        <v>500000000</v>
      </c>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ht="51" x14ac:dyDescent="0.2">
      <c r="A110" s="37">
        <v>8</v>
      </c>
      <c r="B110" s="189"/>
      <c r="C110" s="190" t="s">
        <v>1159</v>
      </c>
      <c r="D110" s="189"/>
      <c r="E110" s="189"/>
      <c r="F110" s="189"/>
      <c r="G110" s="195">
        <v>296120</v>
      </c>
      <c r="H110" s="80" t="s">
        <v>1270</v>
      </c>
      <c r="I110" s="189"/>
      <c r="J110" s="190"/>
      <c r="K110" s="189"/>
      <c r="L110" s="189"/>
      <c r="M110" s="183">
        <f>+M111</f>
        <v>43920000</v>
      </c>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37">
        <v>9</v>
      </c>
      <c r="B111" s="189"/>
      <c r="C111" s="190"/>
      <c r="D111" s="189"/>
      <c r="E111" s="189"/>
      <c r="F111" s="189"/>
      <c r="G111" s="195"/>
      <c r="H111" s="80" t="s">
        <v>835</v>
      </c>
      <c r="I111" s="189"/>
      <c r="J111" s="190"/>
      <c r="K111" s="189"/>
      <c r="L111" s="189"/>
      <c r="M111" s="183">
        <v>43920000</v>
      </c>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ht="51" x14ac:dyDescent="0.2">
      <c r="A112" s="37">
        <v>8</v>
      </c>
      <c r="B112" s="189"/>
      <c r="C112" s="190" t="s">
        <v>10</v>
      </c>
      <c r="D112" s="189"/>
      <c r="E112" s="189"/>
      <c r="F112" s="189"/>
      <c r="G112" s="195">
        <v>296120</v>
      </c>
      <c r="H112" s="80" t="s">
        <v>1314</v>
      </c>
      <c r="I112" s="189"/>
      <c r="J112" s="190"/>
      <c r="K112" s="189"/>
      <c r="L112" s="189"/>
      <c r="M112" s="183">
        <f>+M113</f>
        <v>986080000</v>
      </c>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37">
        <v>9</v>
      </c>
      <c r="B113" s="189"/>
      <c r="C113" s="190"/>
      <c r="D113" s="189"/>
      <c r="E113" s="189"/>
      <c r="F113" s="189"/>
      <c r="G113" s="195"/>
      <c r="H113" s="80" t="s">
        <v>835</v>
      </c>
      <c r="I113" s="189"/>
      <c r="J113" s="190"/>
      <c r="K113" s="189"/>
      <c r="L113" s="189"/>
      <c r="M113" s="183">
        <f>176080000+1200000000+110000000-500000000</f>
        <v>986080000</v>
      </c>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ht="63.75" x14ac:dyDescent="0.2">
      <c r="A114" s="37">
        <v>8</v>
      </c>
      <c r="B114" s="189"/>
      <c r="C114" s="190" t="s">
        <v>10</v>
      </c>
      <c r="D114" s="189"/>
      <c r="E114" s="189"/>
      <c r="F114" s="189"/>
      <c r="G114" s="195">
        <v>296123</v>
      </c>
      <c r="H114" s="177" t="s">
        <v>194</v>
      </c>
      <c r="I114" s="189"/>
      <c r="J114" s="190"/>
      <c r="K114" s="189"/>
      <c r="L114" s="189"/>
      <c r="M114" s="183">
        <f>+M115</f>
        <v>120000000</v>
      </c>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37">
        <v>9</v>
      </c>
      <c r="B115" s="189"/>
      <c r="C115" s="190"/>
      <c r="D115" s="189"/>
      <c r="E115" s="189"/>
      <c r="F115" s="189"/>
      <c r="G115" s="195"/>
      <c r="H115" s="80" t="s">
        <v>835</v>
      </c>
      <c r="I115" s="189"/>
      <c r="J115" s="190"/>
      <c r="K115" s="189"/>
      <c r="L115" s="189"/>
      <c r="M115" s="183">
        <f>180000000+30000000-90000000</f>
        <v>120000000</v>
      </c>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ht="54" customHeight="1" x14ac:dyDescent="0.2">
      <c r="A116" s="37">
        <v>8</v>
      </c>
      <c r="B116" s="189"/>
      <c r="C116" s="190" t="s">
        <v>1159</v>
      </c>
      <c r="D116" s="189"/>
      <c r="E116" s="189"/>
      <c r="F116" s="189"/>
      <c r="G116" s="195">
        <v>296125</v>
      </c>
      <c r="H116" s="80" t="s">
        <v>1168</v>
      </c>
      <c r="I116" s="189"/>
      <c r="J116" s="190"/>
      <c r="K116" s="189"/>
      <c r="L116" s="189"/>
      <c r="M116" s="183">
        <f>+M117</f>
        <v>102000000</v>
      </c>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37">
        <v>9</v>
      </c>
      <c r="B117" s="189"/>
      <c r="C117" s="190"/>
      <c r="D117" s="189"/>
      <c r="E117" s="189"/>
      <c r="F117" s="189"/>
      <c r="G117" s="195"/>
      <c r="H117" s="80" t="s">
        <v>835</v>
      </c>
      <c r="I117" s="189"/>
      <c r="J117" s="190"/>
      <c r="K117" s="189"/>
      <c r="L117" s="189"/>
      <c r="M117" s="183">
        <v>102000000</v>
      </c>
      <c r="N117" s="37"/>
      <c r="O117" s="37"/>
      <c r="P117" s="37"/>
      <c r="Q117" s="37"/>
      <c r="R117" s="37"/>
      <c r="S117" s="37"/>
      <c r="T117" s="37"/>
      <c r="U117" s="37"/>
      <c r="V117" s="37"/>
      <c r="W117" s="37"/>
      <c r="X117" s="37"/>
      <c r="Y117" s="37"/>
      <c r="Z117" s="37"/>
      <c r="AA117" s="37"/>
      <c r="AB117" s="37"/>
      <c r="AC117" s="37"/>
      <c r="AD117" s="37"/>
      <c r="AE117" s="37"/>
      <c r="AF117" s="37"/>
      <c r="AG117" s="37"/>
      <c r="AH117" s="37"/>
    </row>
    <row r="118" spans="1:34" ht="51" x14ac:dyDescent="0.2">
      <c r="A118" s="37">
        <v>8</v>
      </c>
      <c r="B118" s="189"/>
      <c r="C118" s="190" t="s">
        <v>10</v>
      </c>
      <c r="D118" s="189"/>
      <c r="E118" s="189"/>
      <c r="F118" s="189"/>
      <c r="G118" s="195">
        <v>296125</v>
      </c>
      <c r="H118" s="80" t="s">
        <v>1313</v>
      </c>
      <c r="I118" s="189"/>
      <c r="J118" s="190"/>
      <c r="K118" s="189"/>
      <c r="L118" s="189"/>
      <c r="M118" s="183">
        <f>+M119</f>
        <v>616500000</v>
      </c>
      <c r="N118" s="37"/>
      <c r="O118" s="37"/>
      <c r="P118" s="37"/>
      <c r="Q118" s="37"/>
      <c r="R118" s="37"/>
      <c r="S118" s="37"/>
      <c r="T118" s="37"/>
      <c r="U118" s="37"/>
      <c r="V118" s="37"/>
      <c r="W118" s="37"/>
      <c r="X118" s="37"/>
      <c r="Y118" s="37"/>
      <c r="Z118" s="37"/>
      <c r="AA118" s="37"/>
      <c r="AB118" s="37"/>
      <c r="AC118" s="37"/>
      <c r="AD118" s="37"/>
      <c r="AE118" s="37"/>
      <c r="AF118" s="37"/>
      <c r="AG118" s="37"/>
      <c r="AH118" s="37"/>
    </row>
    <row r="119" spans="1:34" x14ac:dyDescent="0.2">
      <c r="A119" s="37">
        <v>9</v>
      </c>
      <c r="B119" s="189"/>
      <c r="C119" s="190"/>
      <c r="D119" s="189"/>
      <c r="E119" s="189"/>
      <c r="F119" s="189"/>
      <c r="G119" s="195"/>
      <c r="H119" s="80" t="s">
        <v>835</v>
      </c>
      <c r="I119" s="189"/>
      <c r="J119" s="190"/>
      <c r="K119" s="189"/>
      <c r="L119" s="189"/>
      <c r="M119" s="183">
        <f>147000000+368000000+151500000-200000000+150000000</f>
        <v>616500000</v>
      </c>
      <c r="N119" s="37"/>
      <c r="O119" s="37"/>
      <c r="P119" s="37"/>
      <c r="Q119" s="37"/>
      <c r="R119" s="37"/>
      <c r="S119" s="37"/>
      <c r="T119" s="37"/>
      <c r="U119" s="37"/>
      <c r="V119" s="37"/>
      <c r="W119" s="37"/>
      <c r="X119" s="37"/>
      <c r="Y119" s="37"/>
      <c r="Z119" s="37"/>
      <c r="AA119" s="37"/>
      <c r="AB119" s="37"/>
      <c r="AC119" s="37"/>
      <c r="AD119" s="37"/>
      <c r="AE119" s="37"/>
      <c r="AF119" s="37"/>
      <c r="AG119" s="37"/>
      <c r="AH119" s="37"/>
    </row>
    <row r="120" spans="1:34" ht="38.25" x14ac:dyDescent="0.2">
      <c r="A120" s="37">
        <v>8</v>
      </c>
      <c r="B120" s="189"/>
      <c r="C120" s="190" t="s">
        <v>10</v>
      </c>
      <c r="D120" s="189"/>
      <c r="E120" s="189"/>
      <c r="F120" s="189"/>
      <c r="G120" s="195">
        <v>296126</v>
      </c>
      <c r="H120" s="80" t="s">
        <v>408</v>
      </c>
      <c r="I120" s="189"/>
      <c r="J120" s="190"/>
      <c r="K120" s="189"/>
      <c r="L120" s="189"/>
      <c r="M120" s="183">
        <f>+M121</f>
        <v>1172613360</v>
      </c>
      <c r="N120" s="37"/>
      <c r="O120" s="37"/>
      <c r="P120" s="37"/>
      <c r="Q120" s="37"/>
      <c r="R120" s="37"/>
      <c r="S120" s="37"/>
      <c r="T120" s="37"/>
      <c r="U120" s="37"/>
      <c r="V120" s="37"/>
      <c r="W120" s="37"/>
      <c r="X120" s="37"/>
      <c r="Y120" s="37"/>
      <c r="Z120" s="37"/>
      <c r="AA120" s="37"/>
      <c r="AB120" s="37"/>
      <c r="AC120" s="37"/>
      <c r="AD120" s="37"/>
      <c r="AE120" s="37"/>
      <c r="AF120" s="37"/>
      <c r="AG120" s="37"/>
      <c r="AH120" s="37"/>
    </row>
    <row r="121" spans="1:34" x14ac:dyDescent="0.2">
      <c r="A121" s="37">
        <v>9</v>
      </c>
      <c r="B121" s="189"/>
      <c r="C121" s="190"/>
      <c r="D121" s="189"/>
      <c r="E121" s="189"/>
      <c r="F121" s="189"/>
      <c r="G121" s="195"/>
      <c r="H121" s="80" t="s">
        <v>835</v>
      </c>
      <c r="I121" s="189"/>
      <c r="J121" s="190"/>
      <c r="K121" s="189"/>
      <c r="L121" s="189"/>
      <c r="M121" s="183">
        <f>995000000+649613360-800000000+328000000</f>
        <v>1172613360</v>
      </c>
      <c r="N121" s="37"/>
      <c r="O121" s="37"/>
      <c r="P121" s="37"/>
      <c r="Q121" s="37"/>
      <c r="R121" s="37"/>
      <c r="S121" s="37"/>
      <c r="T121" s="37"/>
      <c r="U121" s="37"/>
      <c r="V121" s="37"/>
      <c r="W121" s="37"/>
      <c r="X121" s="37"/>
      <c r="Y121" s="37"/>
      <c r="Z121" s="37"/>
      <c r="AA121" s="37"/>
      <c r="AB121" s="37"/>
      <c r="AC121" s="37"/>
      <c r="AD121" s="37"/>
      <c r="AE121" s="37"/>
      <c r="AF121" s="37"/>
      <c r="AG121" s="37"/>
      <c r="AH121" s="37"/>
    </row>
    <row r="122" spans="1:34" ht="25.5" x14ac:dyDescent="0.2">
      <c r="A122" s="37">
        <v>8</v>
      </c>
      <c r="B122" s="189"/>
      <c r="C122" s="190" t="s">
        <v>10</v>
      </c>
      <c r="D122" s="189"/>
      <c r="E122" s="189"/>
      <c r="F122" s="189"/>
      <c r="G122" s="195">
        <v>296128</v>
      </c>
      <c r="H122" s="80" t="s">
        <v>489</v>
      </c>
      <c r="I122" s="189"/>
      <c r="J122" s="190"/>
      <c r="K122" s="189"/>
      <c r="L122" s="189"/>
      <c r="M122" s="183">
        <f>+M123</f>
        <v>50000000</v>
      </c>
      <c r="N122" s="37"/>
      <c r="O122" s="37"/>
      <c r="P122" s="37"/>
      <c r="Q122" s="37"/>
      <c r="R122" s="37"/>
      <c r="S122" s="37"/>
      <c r="T122" s="37"/>
      <c r="U122" s="37"/>
      <c r="V122" s="37"/>
      <c r="W122" s="37"/>
      <c r="X122" s="37"/>
      <c r="Y122" s="37"/>
      <c r="Z122" s="37"/>
      <c r="AA122" s="37"/>
      <c r="AB122" s="37"/>
      <c r="AC122" s="37"/>
      <c r="AD122" s="37"/>
      <c r="AE122" s="37"/>
      <c r="AF122" s="37"/>
      <c r="AG122" s="37"/>
      <c r="AH122" s="37"/>
    </row>
    <row r="123" spans="1:34" x14ac:dyDescent="0.2">
      <c r="A123" s="37">
        <v>9</v>
      </c>
      <c r="B123" s="189"/>
      <c r="C123" s="190"/>
      <c r="D123" s="189"/>
      <c r="E123" s="189"/>
      <c r="F123" s="189"/>
      <c r="G123" s="195"/>
      <c r="H123" s="80" t="s">
        <v>835</v>
      </c>
      <c r="I123" s="189"/>
      <c r="J123" s="190"/>
      <c r="K123" s="189"/>
      <c r="L123" s="189"/>
      <c r="M123" s="183">
        <v>50000000</v>
      </c>
      <c r="N123" s="37"/>
      <c r="O123" s="37"/>
      <c r="P123" s="37"/>
      <c r="Q123" s="37"/>
      <c r="R123" s="37"/>
      <c r="S123" s="37"/>
      <c r="T123" s="37"/>
      <c r="U123" s="37"/>
      <c r="V123" s="37"/>
      <c r="W123" s="37"/>
      <c r="X123" s="37"/>
      <c r="Y123" s="37"/>
      <c r="Z123" s="37"/>
      <c r="AA123" s="37"/>
      <c r="AB123" s="37"/>
      <c r="AC123" s="37"/>
      <c r="AD123" s="37"/>
      <c r="AE123" s="37"/>
      <c r="AF123" s="37"/>
      <c r="AG123" s="37"/>
      <c r="AH123" s="37"/>
    </row>
    <row r="124" spans="1:34" ht="46.5" customHeight="1" x14ac:dyDescent="0.2">
      <c r="A124" s="37">
        <v>8</v>
      </c>
      <c r="B124" s="189"/>
      <c r="C124" s="190" t="s">
        <v>1275</v>
      </c>
      <c r="D124" s="189"/>
      <c r="E124" s="189"/>
      <c r="F124" s="189"/>
      <c r="G124" s="195">
        <v>296129</v>
      </c>
      <c r="H124" s="80" t="s">
        <v>1269</v>
      </c>
      <c r="I124" s="189"/>
      <c r="J124" s="190"/>
      <c r="K124" s="189"/>
      <c r="L124" s="189"/>
      <c r="M124" s="183">
        <f>+M126+M125</f>
        <v>5543889549</v>
      </c>
      <c r="N124" s="37"/>
      <c r="O124" s="37"/>
      <c r="P124" s="37"/>
      <c r="Q124" s="37"/>
      <c r="R124" s="37"/>
      <c r="S124" s="37"/>
      <c r="T124" s="37"/>
      <c r="U124" s="37"/>
      <c r="V124" s="37"/>
      <c r="W124" s="37"/>
      <c r="X124" s="37"/>
      <c r="Y124" s="37"/>
      <c r="Z124" s="37"/>
      <c r="AA124" s="37"/>
      <c r="AB124" s="37"/>
      <c r="AC124" s="37"/>
      <c r="AD124" s="37"/>
      <c r="AE124" s="37"/>
      <c r="AF124" s="37"/>
      <c r="AG124" s="37"/>
      <c r="AH124" s="37"/>
    </row>
    <row r="125" spans="1:34" ht="25.5" x14ac:dyDescent="0.2">
      <c r="A125" s="37"/>
      <c r="B125" s="189"/>
      <c r="C125" s="190"/>
      <c r="D125" s="189"/>
      <c r="E125" s="189"/>
      <c r="F125" s="189"/>
      <c r="G125" s="195"/>
      <c r="H125" s="80" t="s">
        <v>1514</v>
      </c>
      <c r="I125" s="189"/>
      <c r="J125" s="190"/>
      <c r="K125" s="189"/>
      <c r="L125" s="189"/>
      <c r="M125" s="183">
        <f>3383889113+436</f>
        <v>3383889549</v>
      </c>
      <c r="N125" s="37"/>
      <c r="O125" s="37"/>
      <c r="P125" s="37"/>
      <c r="Q125" s="37"/>
      <c r="R125" s="37"/>
      <c r="S125" s="37"/>
      <c r="T125" s="37"/>
      <c r="U125" s="37"/>
      <c r="V125" s="37"/>
      <c r="W125" s="37"/>
      <c r="X125" s="37"/>
      <c r="Y125" s="37"/>
      <c r="Z125" s="37"/>
      <c r="AA125" s="37"/>
      <c r="AB125" s="37"/>
      <c r="AC125" s="37"/>
      <c r="AD125" s="37"/>
      <c r="AE125" s="37"/>
      <c r="AF125" s="37"/>
      <c r="AG125" s="37"/>
      <c r="AH125" s="37"/>
    </row>
    <row r="126" spans="1:34" x14ac:dyDescent="0.2">
      <c r="A126" s="37">
        <v>9</v>
      </c>
      <c r="B126" s="189"/>
      <c r="C126" s="190"/>
      <c r="D126" s="189"/>
      <c r="E126" s="189"/>
      <c r="F126" s="189"/>
      <c r="G126" s="195"/>
      <c r="H126" s="80" t="s">
        <v>835</v>
      </c>
      <c r="I126" s="189"/>
      <c r="J126" s="190"/>
      <c r="K126" s="189"/>
      <c r="L126" s="189"/>
      <c r="M126" s="183">
        <f>1360000000+800000000</f>
        <v>2160000000</v>
      </c>
      <c r="N126" s="37"/>
      <c r="O126" s="37"/>
      <c r="P126" s="37"/>
      <c r="Q126" s="37"/>
      <c r="R126" s="37"/>
      <c r="S126" s="37"/>
      <c r="T126" s="37"/>
      <c r="U126" s="37"/>
      <c r="V126" s="37"/>
      <c r="W126" s="37"/>
      <c r="X126" s="37"/>
      <c r="Y126" s="37"/>
      <c r="Z126" s="37"/>
      <c r="AA126" s="37"/>
      <c r="AB126" s="37"/>
      <c r="AC126" s="37"/>
      <c r="AD126" s="37"/>
      <c r="AE126" s="37"/>
      <c r="AF126" s="37"/>
      <c r="AG126" s="37"/>
      <c r="AH126" s="37"/>
    </row>
    <row r="127" spans="1:34" ht="43.5" customHeight="1" x14ac:dyDescent="0.2">
      <c r="A127" s="37">
        <v>8</v>
      </c>
      <c r="B127" s="189"/>
      <c r="C127" s="190" t="s">
        <v>10</v>
      </c>
      <c r="D127" s="189"/>
      <c r="E127" s="189"/>
      <c r="F127" s="189"/>
      <c r="G127" s="195">
        <v>296129</v>
      </c>
      <c r="H127" s="80" t="s">
        <v>834</v>
      </c>
      <c r="I127" s="189"/>
      <c r="J127" s="190"/>
      <c r="K127" s="189"/>
      <c r="L127" s="189"/>
      <c r="M127" s="183">
        <f>+M128</f>
        <v>11769528384</v>
      </c>
      <c r="N127" s="37"/>
      <c r="O127" s="37"/>
      <c r="P127" s="37"/>
      <c r="Q127" s="37"/>
      <c r="R127" s="37"/>
      <c r="S127" s="37"/>
      <c r="T127" s="37"/>
      <c r="U127" s="37"/>
      <c r="V127" s="37"/>
      <c r="W127" s="37"/>
      <c r="X127" s="37"/>
      <c r="Y127" s="37"/>
      <c r="Z127" s="37"/>
      <c r="AA127" s="37"/>
      <c r="AB127" s="37"/>
      <c r="AC127" s="37"/>
      <c r="AD127" s="37"/>
      <c r="AE127" s="37"/>
      <c r="AF127" s="37"/>
      <c r="AG127" s="37"/>
      <c r="AH127" s="37"/>
    </row>
    <row r="128" spans="1:34" x14ac:dyDescent="0.2">
      <c r="A128" s="37">
        <v>9</v>
      </c>
      <c r="B128" s="189"/>
      <c r="C128" s="190"/>
      <c r="D128" s="189"/>
      <c r="E128" s="189"/>
      <c r="F128" s="189"/>
      <c r="G128" s="195"/>
      <c r="H128" s="80" t="s">
        <v>835</v>
      </c>
      <c r="I128" s="189"/>
      <c r="J128" s="190"/>
      <c r="K128" s="189"/>
      <c r="L128" s="189"/>
      <c r="M128" s="183">
        <f>108000000+1800000000+11311528384+50000000-1500000000</f>
        <v>11769528384</v>
      </c>
      <c r="N128" s="37"/>
      <c r="O128" s="37"/>
      <c r="P128" s="37"/>
      <c r="Q128" s="37"/>
      <c r="R128" s="37"/>
      <c r="S128" s="37"/>
      <c r="T128" s="37"/>
      <c r="U128" s="37"/>
      <c r="V128" s="37"/>
      <c r="W128" s="37"/>
      <c r="X128" s="37"/>
      <c r="Y128" s="37"/>
      <c r="Z128" s="37"/>
      <c r="AA128" s="37"/>
      <c r="AB128" s="37"/>
      <c r="AC128" s="37"/>
      <c r="AD128" s="37"/>
      <c r="AE128" s="37"/>
      <c r="AF128" s="37"/>
      <c r="AG128" s="37"/>
      <c r="AH128" s="37"/>
    </row>
    <row r="129" spans="1:34" ht="57.75" customHeight="1" x14ac:dyDescent="0.2">
      <c r="A129" s="37">
        <v>8</v>
      </c>
      <c r="B129" s="189"/>
      <c r="C129" s="190" t="s">
        <v>10</v>
      </c>
      <c r="D129" s="189"/>
      <c r="E129" s="189"/>
      <c r="F129" s="189"/>
      <c r="G129" s="195">
        <v>296130</v>
      </c>
      <c r="H129" s="80" t="s">
        <v>519</v>
      </c>
      <c r="I129" s="189"/>
      <c r="J129" s="190"/>
      <c r="K129" s="189"/>
      <c r="L129" s="189"/>
      <c r="M129" s="183">
        <f>+M130</f>
        <v>800000000</v>
      </c>
      <c r="N129" s="37"/>
      <c r="O129" s="37"/>
      <c r="P129" s="37"/>
      <c r="Q129" s="37"/>
      <c r="R129" s="37"/>
      <c r="S129" s="37"/>
      <c r="T129" s="37"/>
      <c r="U129" s="37"/>
      <c r="V129" s="37"/>
      <c r="W129" s="37"/>
      <c r="X129" s="37"/>
      <c r="Y129" s="37"/>
      <c r="Z129" s="37"/>
      <c r="AA129" s="37"/>
      <c r="AB129" s="37"/>
      <c r="AC129" s="37"/>
      <c r="AD129" s="37"/>
      <c r="AE129" s="37"/>
      <c r="AF129" s="37"/>
      <c r="AG129" s="37"/>
      <c r="AH129" s="37"/>
    </row>
    <row r="130" spans="1:34" x14ac:dyDescent="0.2">
      <c r="A130" s="37">
        <v>9</v>
      </c>
      <c r="B130" s="189"/>
      <c r="C130" s="190"/>
      <c r="D130" s="189"/>
      <c r="E130" s="189"/>
      <c r="F130" s="189"/>
      <c r="G130" s="195"/>
      <c r="H130" s="80" t="s">
        <v>835</v>
      </c>
      <c r="I130" s="189"/>
      <c r="J130" s="190"/>
      <c r="K130" s="189"/>
      <c r="L130" s="189"/>
      <c r="M130" s="183">
        <f>380000000+500000000-180000000+100000000</f>
        <v>800000000</v>
      </c>
      <c r="N130" s="37"/>
      <c r="O130" s="37"/>
      <c r="P130" s="37"/>
      <c r="Q130" s="37"/>
      <c r="R130" s="37"/>
      <c r="S130" s="37"/>
      <c r="T130" s="37"/>
      <c r="U130" s="37"/>
      <c r="V130" s="37"/>
      <c r="W130" s="37"/>
      <c r="X130" s="37"/>
      <c r="Y130" s="37"/>
      <c r="Z130" s="37"/>
      <c r="AA130" s="37"/>
      <c r="AB130" s="37"/>
      <c r="AC130" s="37"/>
      <c r="AD130" s="37"/>
      <c r="AE130" s="37"/>
      <c r="AF130" s="37"/>
      <c r="AG130" s="37"/>
      <c r="AH130" s="37"/>
    </row>
    <row r="131" spans="1:34" ht="51" x14ac:dyDescent="0.2">
      <c r="A131" s="37">
        <v>8</v>
      </c>
      <c r="B131" s="189"/>
      <c r="C131" s="190" t="s">
        <v>10</v>
      </c>
      <c r="D131" s="189"/>
      <c r="E131" s="189"/>
      <c r="F131" s="189"/>
      <c r="G131" s="195">
        <v>296144</v>
      </c>
      <c r="H131" s="80" t="s">
        <v>540</v>
      </c>
      <c r="I131" s="189"/>
      <c r="J131" s="190"/>
      <c r="K131" s="189"/>
      <c r="L131" s="189"/>
      <c r="M131" s="183">
        <f>+M132</f>
        <v>368400000</v>
      </c>
      <c r="N131" s="37"/>
      <c r="O131" s="37"/>
      <c r="P131" s="37"/>
      <c r="Q131" s="37"/>
      <c r="R131" s="37"/>
      <c r="S131" s="37"/>
      <c r="T131" s="37"/>
      <c r="U131" s="37"/>
      <c r="V131" s="37"/>
      <c r="W131" s="37"/>
      <c r="X131" s="37"/>
      <c r="Y131" s="37"/>
      <c r="Z131" s="37"/>
      <c r="AA131" s="37"/>
      <c r="AB131" s="37"/>
      <c r="AC131" s="37"/>
      <c r="AD131" s="37"/>
      <c r="AE131" s="37"/>
      <c r="AF131" s="37"/>
      <c r="AG131" s="37"/>
      <c r="AH131" s="37"/>
    </row>
    <row r="132" spans="1:34" x14ac:dyDescent="0.2">
      <c r="A132" s="37">
        <v>9</v>
      </c>
      <c r="B132" s="189"/>
      <c r="C132" s="190"/>
      <c r="D132" s="189"/>
      <c r="E132" s="189"/>
      <c r="F132" s="189"/>
      <c r="G132" s="195"/>
      <c r="H132" s="80" t="s">
        <v>835</v>
      </c>
      <c r="I132" s="189"/>
      <c r="J132" s="190"/>
      <c r="K132" s="189"/>
      <c r="L132" s="189"/>
      <c r="M132" s="183">
        <f>368400000-100000000+100000000</f>
        <v>368400000</v>
      </c>
      <c r="N132" s="37"/>
      <c r="O132" s="37"/>
      <c r="P132" s="37"/>
      <c r="Q132" s="37"/>
      <c r="R132" s="37"/>
      <c r="S132" s="37"/>
      <c r="T132" s="37"/>
      <c r="U132" s="37"/>
      <c r="V132" s="37"/>
      <c r="W132" s="37"/>
      <c r="X132" s="37"/>
      <c r="Y132" s="37"/>
      <c r="Z132" s="37"/>
      <c r="AA132" s="37"/>
      <c r="AB132" s="37"/>
      <c r="AC132" s="37"/>
      <c r="AD132" s="37"/>
      <c r="AE132" s="37"/>
      <c r="AF132" s="37"/>
      <c r="AG132" s="37"/>
      <c r="AH132" s="37"/>
    </row>
    <row r="133" spans="1:34" x14ac:dyDescent="0.2">
      <c r="A133" s="37"/>
      <c r="B133" s="189"/>
      <c r="C133" s="190"/>
      <c r="D133" s="189"/>
      <c r="E133" s="189"/>
      <c r="F133" s="189"/>
      <c r="G133" s="195"/>
      <c r="H133" s="81" t="s">
        <v>1359</v>
      </c>
      <c r="I133" s="189"/>
      <c r="J133" s="190"/>
      <c r="K133" s="189"/>
      <c r="L133" s="189"/>
      <c r="M133" s="91">
        <f>+M135</f>
        <v>145000000</v>
      </c>
      <c r="N133" s="37"/>
      <c r="O133" s="37"/>
      <c r="P133" s="37"/>
      <c r="Q133" s="37"/>
      <c r="R133" s="37"/>
      <c r="S133" s="37"/>
      <c r="T133" s="37"/>
      <c r="U133" s="37"/>
      <c r="V133" s="37"/>
      <c r="W133" s="37"/>
      <c r="X133" s="37"/>
      <c r="Y133" s="37"/>
      <c r="Z133" s="37"/>
      <c r="AA133" s="37"/>
      <c r="AB133" s="37"/>
      <c r="AC133" s="37"/>
      <c r="AD133" s="37"/>
      <c r="AE133" s="37"/>
      <c r="AF133" s="37"/>
      <c r="AG133" s="37"/>
      <c r="AH133" s="37"/>
    </row>
    <row r="134" spans="1:34" ht="38.25" x14ac:dyDescent="0.2">
      <c r="A134" s="37"/>
      <c r="B134" s="189"/>
      <c r="C134" s="190"/>
      <c r="D134" s="189" t="s">
        <v>986</v>
      </c>
      <c r="E134" s="189" t="s">
        <v>1360</v>
      </c>
      <c r="F134" s="189" t="s">
        <v>1080</v>
      </c>
      <c r="G134" s="195"/>
      <c r="H134" s="80" t="s">
        <v>1361</v>
      </c>
      <c r="I134" s="189" t="s">
        <v>1165</v>
      </c>
      <c r="J134" s="190" t="s">
        <v>179</v>
      </c>
      <c r="K134" s="189" t="s">
        <v>1165</v>
      </c>
      <c r="L134" s="189" t="s">
        <v>1165</v>
      </c>
      <c r="M134" s="183"/>
      <c r="N134" s="37"/>
      <c r="O134" s="37"/>
      <c r="P134" s="37"/>
      <c r="Q134" s="37"/>
      <c r="R134" s="37"/>
      <c r="S134" s="37"/>
      <c r="T134" s="37"/>
      <c r="U134" s="37"/>
      <c r="V134" s="37"/>
      <c r="W134" s="37"/>
      <c r="X134" s="37"/>
      <c r="Y134" s="37"/>
      <c r="Z134" s="37"/>
      <c r="AA134" s="37"/>
      <c r="AB134" s="37"/>
      <c r="AC134" s="37"/>
      <c r="AD134" s="37"/>
      <c r="AE134" s="37"/>
      <c r="AF134" s="37"/>
      <c r="AG134" s="37"/>
      <c r="AH134" s="37"/>
    </row>
    <row r="135" spans="1:34" ht="38.25" x14ac:dyDescent="0.2">
      <c r="A135" s="37"/>
      <c r="B135" s="189"/>
      <c r="C135" s="190"/>
      <c r="D135" s="189"/>
      <c r="E135" s="189"/>
      <c r="F135" s="189"/>
      <c r="G135" s="195">
        <v>296131</v>
      </c>
      <c r="H135" s="80" t="s">
        <v>471</v>
      </c>
      <c r="I135" s="189"/>
      <c r="J135" s="190"/>
      <c r="K135" s="189"/>
      <c r="L135" s="189"/>
      <c r="M135" s="183">
        <f>+M136</f>
        <v>145000000</v>
      </c>
      <c r="N135" s="37"/>
      <c r="O135" s="37"/>
      <c r="P135" s="37"/>
      <c r="Q135" s="37"/>
      <c r="R135" s="37"/>
      <c r="S135" s="37"/>
      <c r="T135" s="37"/>
      <c r="U135" s="37"/>
      <c r="V135" s="37"/>
      <c r="W135" s="37"/>
      <c r="X135" s="37"/>
      <c r="Y135" s="37"/>
      <c r="Z135" s="37"/>
      <c r="AA135" s="37"/>
      <c r="AB135" s="37"/>
      <c r="AC135" s="37"/>
      <c r="AD135" s="37"/>
      <c r="AE135" s="37"/>
      <c r="AF135" s="37"/>
      <c r="AG135" s="37"/>
      <c r="AH135" s="37"/>
    </row>
    <row r="136" spans="1:34" x14ac:dyDescent="0.2">
      <c r="A136" s="37"/>
      <c r="B136" s="189"/>
      <c r="C136" s="190"/>
      <c r="D136" s="189"/>
      <c r="E136" s="189"/>
      <c r="F136" s="189"/>
      <c r="G136" s="195"/>
      <c r="H136" s="80" t="s">
        <v>835</v>
      </c>
      <c r="I136" s="189"/>
      <c r="J136" s="190"/>
      <c r="K136" s="189"/>
      <c r="L136" s="189"/>
      <c r="M136" s="183">
        <v>145000000</v>
      </c>
      <c r="N136" s="37"/>
      <c r="O136" s="37"/>
      <c r="P136" s="37"/>
      <c r="Q136" s="37"/>
      <c r="R136" s="37"/>
      <c r="S136" s="37"/>
      <c r="T136" s="37"/>
      <c r="U136" s="37"/>
      <c r="V136" s="37"/>
      <c r="W136" s="37"/>
      <c r="X136" s="37"/>
      <c r="Y136" s="37"/>
      <c r="Z136" s="37"/>
      <c r="AA136" s="37"/>
      <c r="AB136" s="37"/>
      <c r="AC136" s="37"/>
      <c r="AD136" s="37"/>
      <c r="AE136" s="37"/>
      <c r="AF136" s="37"/>
      <c r="AG136" s="37"/>
      <c r="AH136" s="37"/>
    </row>
    <row r="137" spans="1:34" x14ac:dyDescent="0.2">
      <c r="A137" s="37"/>
      <c r="B137" s="189"/>
      <c r="C137" s="190"/>
      <c r="D137" s="189"/>
      <c r="E137" s="189"/>
      <c r="F137" s="189"/>
      <c r="G137" s="195"/>
      <c r="H137" s="80"/>
      <c r="I137" s="189"/>
      <c r="J137" s="190"/>
      <c r="K137" s="189"/>
      <c r="L137" s="189"/>
      <c r="M137" s="183"/>
      <c r="N137" s="37"/>
      <c r="O137" s="37"/>
      <c r="P137" s="37"/>
      <c r="Q137" s="37"/>
      <c r="R137" s="37"/>
      <c r="S137" s="37"/>
      <c r="T137" s="37"/>
      <c r="U137" s="37"/>
      <c r="V137" s="37"/>
      <c r="W137" s="37"/>
      <c r="X137" s="37"/>
      <c r="Y137" s="37"/>
      <c r="Z137" s="37"/>
      <c r="AA137" s="37"/>
      <c r="AB137" s="37"/>
      <c r="AC137" s="37"/>
      <c r="AD137" s="37"/>
      <c r="AE137" s="37"/>
      <c r="AF137" s="37"/>
      <c r="AG137" s="37"/>
      <c r="AH137" s="37"/>
    </row>
    <row r="138" spans="1:34" x14ac:dyDescent="0.2">
      <c r="A138" s="37">
        <v>4</v>
      </c>
      <c r="B138" s="189" t="s">
        <v>285</v>
      </c>
      <c r="C138" s="190"/>
      <c r="D138" s="189"/>
      <c r="E138" s="189"/>
      <c r="F138" s="189"/>
      <c r="G138" s="195"/>
      <c r="H138" s="173" t="s">
        <v>548</v>
      </c>
      <c r="I138" s="189"/>
      <c r="J138" s="190"/>
      <c r="K138" s="189"/>
      <c r="L138" s="189"/>
      <c r="M138" s="91">
        <f>+M143</f>
        <v>2081079856</v>
      </c>
      <c r="N138" s="37"/>
      <c r="O138" s="37"/>
      <c r="P138" s="37"/>
      <c r="Q138" s="37"/>
      <c r="R138" s="37"/>
      <c r="S138" s="37"/>
      <c r="T138" s="37"/>
      <c r="U138" s="37"/>
      <c r="V138" s="37"/>
      <c r="W138" s="37"/>
      <c r="X138" s="37"/>
      <c r="Y138" s="37"/>
      <c r="Z138" s="37"/>
      <c r="AA138" s="37"/>
      <c r="AB138" s="37"/>
      <c r="AC138" s="37"/>
      <c r="AD138" s="37"/>
      <c r="AE138" s="37"/>
      <c r="AF138" s="37"/>
      <c r="AG138" s="37"/>
      <c r="AH138" s="37"/>
    </row>
    <row r="139" spans="1:34" ht="25.5" x14ac:dyDescent="0.2">
      <c r="A139" s="37">
        <v>5</v>
      </c>
      <c r="B139" s="189"/>
      <c r="C139" s="190"/>
      <c r="D139" s="189"/>
      <c r="E139" s="196">
        <v>36</v>
      </c>
      <c r="F139" s="189" t="s">
        <v>268</v>
      </c>
      <c r="G139" s="195"/>
      <c r="H139" s="80" t="s">
        <v>49</v>
      </c>
      <c r="I139" s="196">
        <v>100</v>
      </c>
      <c r="J139" s="190" t="s">
        <v>572</v>
      </c>
      <c r="K139" s="196">
        <v>100</v>
      </c>
      <c r="L139" s="189" t="s">
        <v>1165</v>
      </c>
      <c r="M139" s="194"/>
      <c r="N139" s="37"/>
      <c r="O139" s="37"/>
      <c r="P139" s="37"/>
      <c r="Q139" s="37"/>
      <c r="R139" s="37"/>
      <c r="S139" s="37"/>
      <c r="T139" s="37"/>
      <c r="U139" s="37"/>
      <c r="V139" s="37"/>
      <c r="W139" s="37"/>
      <c r="X139" s="37"/>
      <c r="Y139" s="37"/>
      <c r="Z139" s="37"/>
      <c r="AA139" s="37"/>
      <c r="AB139" s="37"/>
      <c r="AC139" s="37"/>
      <c r="AD139" s="37"/>
      <c r="AE139" s="37"/>
      <c r="AF139" s="37"/>
      <c r="AG139" s="37"/>
      <c r="AH139" s="37"/>
    </row>
    <row r="140" spans="1:34" ht="25.5" x14ac:dyDescent="0.2">
      <c r="A140" s="37">
        <v>5</v>
      </c>
      <c r="B140" s="189"/>
      <c r="C140" s="190"/>
      <c r="D140" s="189"/>
      <c r="E140" s="196">
        <v>37</v>
      </c>
      <c r="F140" s="189" t="s">
        <v>268</v>
      </c>
      <c r="G140" s="195"/>
      <c r="H140" s="80" t="s">
        <v>918</v>
      </c>
      <c r="I140" s="197">
        <v>0.46</v>
      </c>
      <c r="J140" s="190" t="s">
        <v>440</v>
      </c>
      <c r="K140" s="196">
        <v>0</v>
      </c>
      <c r="L140" s="189" t="s">
        <v>1322</v>
      </c>
      <c r="M140" s="194"/>
      <c r="N140" s="37"/>
      <c r="O140" s="37"/>
      <c r="P140" s="37"/>
      <c r="Q140" s="37"/>
      <c r="R140" s="37"/>
      <c r="S140" s="37"/>
      <c r="T140" s="37"/>
      <c r="U140" s="37"/>
      <c r="V140" s="37"/>
      <c r="W140" s="37"/>
      <c r="X140" s="37"/>
      <c r="Y140" s="37"/>
      <c r="Z140" s="37"/>
      <c r="AA140" s="37"/>
      <c r="AB140" s="37"/>
      <c r="AC140" s="37"/>
      <c r="AD140" s="37"/>
      <c r="AE140" s="37"/>
      <c r="AF140" s="37"/>
      <c r="AG140" s="37"/>
      <c r="AH140" s="37"/>
    </row>
    <row r="141" spans="1:34" ht="38.25" x14ac:dyDescent="0.2">
      <c r="A141" s="37"/>
      <c r="B141" s="189"/>
      <c r="C141" s="190"/>
      <c r="D141" s="189"/>
      <c r="E141" s="196">
        <v>78</v>
      </c>
      <c r="F141" s="189" t="s">
        <v>268</v>
      </c>
      <c r="G141" s="195"/>
      <c r="H141" s="80" t="s">
        <v>854</v>
      </c>
      <c r="I141" s="197">
        <v>1.95</v>
      </c>
      <c r="J141" s="190" t="s">
        <v>440</v>
      </c>
      <c r="K141" s="196" t="s">
        <v>1321</v>
      </c>
      <c r="L141" s="189" t="s">
        <v>1320</v>
      </c>
      <c r="M141" s="194"/>
      <c r="N141" s="37"/>
      <c r="O141" s="37"/>
      <c r="P141" s="37"/>
      <c r="Q141" s="37"/>
      <c r="R141" s="37"/>
      <c r="S141" s="37"/>
      <c r="T141" s="37"/>
      <c r="U141" s="37"/>
      <c r="V141" s="37"/>
      <c r="W141" s="37"/>
      <c r="X141" s="37"/>
      <c r="Y141" s="37"/>
      <c r="Z141" s="37"/>
      <c r="AA141" s="37"/>
      <c r="AB141" s="37"/>
      <c r="AC141" s="37"/>
      <c r="AD141" s="37"/>
      <c r="AE141" s="37"/>
      <c r="AF141" s="37"/>
      <c r="AG141" s="37"/>
      <c r="AH141" s="37"/>
    </row>
    <row r="142" spans="1:34" x14ac:dyDescent="0.2">
      <c r="A142" s="37"/>
      <c r="B142" s="189"/>
      <c r="C142" s="190"/>
      <c r="D142" s="189"/>
      <c r="E142" s="196"/>
      <c r="F142" s="189"/>
      <c r="G142" s="195"/>
      <c r="H142" s="80"/>
      <c r="I142" s="197"/>
      <c r="J142" s="190"/>
      <c r="K142" s="196"/>
      <c r="L142" s="189"/>
      <c r="M142" s="194"/>
      <c r="N142" s="37"/>
      <c r="O142" s="37"/>
      <c r="P142" s="37"/>
      <c r="Q142" s="37"/>
      <c r="R142" s="37"/>
      <c r="S142" s="37"/>
      <c r="T142" s="37"/>
      <c r="U142" s="37"/>
      <c r="V142" s="37"/>
      <c r="W142" s="37"/>
      <c r="X142" s="37"/>
      <c r="Y142" s="37"/>
      <c r="Z142" s="37"/>
      <c r="AA142" s="37"/>
      <c r="AB142" s="37"/>
      <c r="AC142" s="37"/>
      <c r="AD142" s="37"/>
      <c r="AE142" s="37"/>
      <c r="AF142" s="37"/>
      <c r="AG142" s="37"/>
      <c r="AH142" s="37"/>
    </row>
    <row r="143" spans="1:34" x14ac:dyDescent="0.2">
      <c r="A143" s="37">
        <v>6</v>
      </c>
      <c r="B143" s="189" t="s">
        <v>497</v>
      </c>
      <c r="C143" s="190"/>
      <c r="D143" s="189"/>
      <c r="E143" s="189"/>
      <c r="F143" s="189"/>
      <c r="G143" s="195"/>
      <c r="H143" s="173" t="s">
        <v>316</v>
      </c>
      <c r="I143" s="189"/>
      <c r="J143" s="190"/>
      <c r="K143" s="189"/>
      <c r="L143" s="189"/>
      <c r="M143" s="91">
        <f>+M149+M151</f>
        <v>2081079856</v>
      </c>
      <c r="N143" s="37"/>
      <c r="O143" s="37"/>
      <c r="P143" s="37"/>
      <c r="Q143" s="37"/>
      <c r="R143" s="37"/>
      <c r="S143" s="37"/>
      <c r="T143" s="37"/>
      <c r="U143" s="37"/>
      <c r="V143" s="37"/>
      <c r="W143" s="37"/>
      <c r="X143" s="37"/>
      <c r="Y143" s="37"/>
      <c r="Z143" s="37"/>
      <c r="AA143" s="37"/>
      <c r="AB143" s="37"/>
      <c r="AC143" s="37"/>
      <c r="AD143" s="37"/>
      <c r="AE143" s="37"/>
      <c r="AF143" s="37"/>
      <c r="AG143" s="37"/>
      <c r="AH143" s="37"/>
    </row>
    <row r="144" spans="1:34" ht="51" x14ac:dyDescent="0.2">
      <c r="A144" s="37"/>
      <c r="B144" s="189"/>
      <c r="C144" s="190"/>
      <c r="D144" s="189" t="s">
        <v>318</v>
      </c>
      <c r="E144" s="196">
        <v>121</v>
      </c>
      <c r="F144" s="189" t="s">
        <v>1080</v>
      </c>
      <c r="G144" s="195"/>
      <c r="H144" s="80" t="s">
        <v>1041</v>
      </c>
      <c r="I144" s="196">
        <v>5000</v>
      </c>
      <c r="J144" s="190" t="s">
        <v>506</v>
      </c>
      <c r="K144" s="196">
        <v>673</v>
      </c>
      <c r="L144" s="189" t="s">
        <v>1318</v>
      </c>
      <c r="M144" s="91"/>
      <c r="N144" s="37"/>
      <c r="O144" s="37"/>
      <c r="P144" s="37"/>
      <c r="Q144" s="37"/>
      <c r="R144" s="37"/>
      <c r="S144" s="37"/>
      <c r="T144" s="37"/>
      <c r="U144" s="37"/>
      <c r="V144" s="37"/>
      <c r="W144" s="37"/>
      <c r="X144" s="37"/>
      <c r="Y144" s="37"/>
      <c r="Z144" s="37"/>
      <c r="AA144" s="37"/>
      <c r="AB144" s="37"/>
      <c r="AC144" s="37"/>
      <c r="AD144" s="37"/>
      <c r="AE144" s="37"/>
      <c r="AF144" s="37"/>
      <c r="AG144" s="37"/>
      <c r="AH144" s="37"/>
    </row>
    <row r="145" spans="1:34" ht="38.25" x14ac:dyDescent="0.2">
      <c r="A145" s="37"/>
      <c r="B145" s="189"/>
      <c r="C145" s="190"/>
      <c r="D145" s="189" t="s">
        <v>573</v>
      </c>
      <c r="E145" s="196">
        <v>122</v>
      </c>
      <c r="F145" s="189" t="s">
        <v>1080</v>
      </c>
      <c r="G145" s="195"/>
      <c r="H145" s="80" t="s">
        <v>581</v>
      </c>
      <c r="I145" s="196">
        <v>4</v>
      </c>
      <c r="J145" s="190" t="s">
        <v>685</v>
      </c>
      <c r="K145" s="196">
        <v>0</v>
      </c>
      <c r="L145" s="189" t="s">
        <v>1025</v>
      </c>
      <c r="M145" s="91"/>
      <c r="N145" s="37"/>
      <c r="O145" s="37"/>
      <c r="P145" s="37"/>
      <c r="Q145" s="37"/>
      <c r="R145" s="37"/>
      <c r="S145" s="37"/>
      <c r="T145" s="37"/>
      <c r="U145" s="37"/>
      <c r="V145" s="37"/>
      <c r="W145" s="37"/>
      <c r="X145" s="37"/>
      <c r="Y145" s="37"/>
      <c r="Z145" s="37"/>
      <c r="AA145" s="37"/>
      <c r="AB145" s="37"/>
      <c r="AC145" s="37"/>
      <c r="AD145" s="37"/>
      <c r="AE145" s="37"/>
      <c r="AF145" s="37"/>
      <c r="AG145" s="37"/>
      <c r="AH145" s="37"/>
    </row>
    <row r="146" spans="1:34" ht="38.25" x14ac:dyDescent="0.2">
      <c r="A146" s="37"/>
      <c r="B146" s="189"/>
      <c r="C146" s="190"/>
      <c r="D146" s="189" t="s">
        <v>573</v>
      </c>
      <c r="E146" s="196">
        <v>123</v>
      </c>
      <c r="F146" s="189" t="s">
        <v>1080</v>
      </c>
      <c r="G146" s="195"/>
      <c r="H146" s="177" t="s">
        <v>1083</v>
      </c>
      <c r="I146" s="196">
        <v>4</v>
      </c>
      <c r="J146" s="190" t="s">
        <v>685</v>
      </c>
      <c r="K146" s="196">
        <v>1</v>
      </c>
      <c r="L146" s="189" t="s">
        <v>301</v>
      </c>
      <c r="M146" s="91"/>
      <c r="N146" s="37"/>
      <c r="O146" s="37"/>
      <c r="P146" s="37"/>
      <c r="Q146" s="37"/>
      <c r="R146" s="37"/>
      <c r="S146" s="37"/>
      <c r="T146" s="37"/>
      <c r="U146" s="37"/>
      <c r="V146" s="37"/>
      <c r="W146" s="37"/>
      <c r="X146" s="37"/>
      <c r="Y146" s="37"/>
      <c r="Z146" s="37"/>
      <c r="AA146" s="37"/>
      <c r="AB146" s="37"/>
      <c r="AC146" s="37"/>
      <c r="AD146" s="37"/>
      <c r="AE146" s="37"/>
      <c r="AF146" s="37"/>
      <c r="AG146" s="37"/>
      <c r="AH146" s="37"/>
    </row>
    <row r="147" spans="1:34" ht="38.25" x14ac:dyDescent="0.2">
      <c r="A147" s="37">
        <v>7</v>
      </c>
      <c r="B147" s="189"/>
      <c r="C147" s="190"/>
      <c r="D147" s="189" t="s">
        <v>645</v>
      </c>
      <c r="E147" s="196">
        <v>124</v>
      </c>
      <c r="F147" s="189" t="s">
        <v>1080</v>
      </c>
      <c r="G147" s="195"/>
      <c r="H147" s="80" t="s">
        <v>760</v>
      </c>
      <c r="I147" s="196">
        <v>3723</v>
      </c>
      <c r="J147" s="190" t="s">
        <v>315</v>
      </c>
      <c r="K147" s="196">
        <v>333</v>
      </c>
      <c r="L147" s="196">
        <v>1037</v>
      </c>
      <c r="M147" s="194"/>
      <c r="N147" s="37"/>
      <c r="O147" s="37"/>
      <c r="P147" s="37"/>
      <c r="Q147" s="37"/>
      <c r="R147" s="37"/>
      <c r="S147" s="37"/>
      <c r="T147" s="37"/>
      <c r="U147" s="37"/>
      <c r="V147" s="37"/>
      <c r="W147" s="37"/>
      <c r="X147" s="37"/>
      <c r="Y147" s="37"/>
      <c r="Z147" s="37"/>
      <c r="AA147" s="37"/>
      <c r="AB147" s="37"/>
      <c r="AC147" s="37"/>
      <c r="AD147" s="37"/>
      <c r="AE147" s="37"/>
      <c r="AF147" s="37"/>
      <c r="AG147" s="37"/>
      <c r="AH147" s="37"/>
    </row>
    <row r="148" spans="1:34" x14ac:dyDescent="0.2">
      <c r="A148" s="37">
        <v>7</v>
      </c>
      <c r="B148" s="189"/>
      <c r="C148" s="190"/>
      <c r="D148" s="175"/>
      <c r="E148" s="175"/>
      <c r="F148" s="175"/>
      <c r="G148" s="175"/>
      <c r="H148" s="175"/>
      <c r="I148" s="175"/>
      <c r="J148" s="175"/>
      <c r="K148" s="175"/>
      <c r="L148" s="175"/>
      <c r="M148" s="194"/>
      <c r="N148" s="37"/>
      <c r="O148" s="37"/>
      <c r="P148" s="37"/>
      <c r="Q148" s="37"/>
      <c r="R148" s="37"/>
      <c r="S148" s="37"/>
      <c r="T148" s="37"/>
      <c r="U148" s="37"/>
      <c r="V148" s="37"/>
      <c r="W148" s="37"/>
      <c r="X148" s="37"/>
      <c r="Y148" s="37"/>
      <c r="Z148" s="37"/>
      <c r="AA148" s="37"/>
      <c r="AB148" s="37"/>
      <c r="AC148" s="37"/>
      <c r="AD148" s="37"/>
      <c r="AE148" s="37"/>
      <c r="AF148" s="37"/>
      <c r="AG148" s="37"/>
      <c r="AH148" s="37"/>
    </row>
    <row r="149" spans="1:34" ht="38.25" x14ac:dyDescent="0.2">
      <c r="A149" s="37">
        <v>8</v>
      </c>
      <c r="B149" s="189"/>
      <c r="C149" s="190" t="s">
        <v>10</v>
      </c>
      <c r="D149" s="189"/>
      <c r="E149" s="189"/>
      <c r="F149" s="189"/>
      <c r="G149" s="195">
        <v>296118</v>
      </c>
      <c r="H149" s="80" t="s">
        <v>32</v>
      </c>
      <c r="I149" s="189"/>
      <c r="J149" s="190"/>
      <c r="K149" s="189"/>
      <c r="L149" s="189"/>
      <c r="M149" s="183">
        <f>+M150</f>
        <v>132000000</v>
      </c>
      <c r="N149" s="37"/>
      <c r="O149" s="37"/>
      <c r="P149" s="37"/>
      <c r="Q149" s="37"/>
      <c r="R149" s="37"/>
      <c r="S149" s="37"/>
      <c r="T149" s="37"/>
      <c r="U149" s="37"/>
      <c r="V149" s="37"/>
      <c r="W149" s="37"/>
      <c r="X149" s="37"/>
      <c r="Y149" s="37"/>
      <c r="Z149" s="37"/>
      <c r="AA149" s="37"/>
      <c r="AB149" s="37"/>
      <c r="AC149" s="37"/>
      <c r="AD149" s="37"/>
      <c r="AE149" s="37"/>
      <c r="AF149" s="37"/>
      <c r="AG149" s="37"/>
      <c r="AH149" s="37"/>
    </row>
    <row r="150" spans="1:34" x14ac:dyDescent="0.2">
      <c r="A150" s="37">
        <v>9</v>
      </c>
      <c r="B150" s="189"/>
      <c r="C150" s="190"/>
      <c r="D150" s="189"/>
      <c r="E150" s="189"/>
      <c r="F150" s="189"/>
      <c r="G150" s="195"/>
      <c r="H150" s="80" t="s">
        <v>835</v>
      </c>
      <c r="I150" s="189"/>
      <c r="J150" s="190"/>
      <c r="K150" s="189"/>
      <c r="L150" s="189"/>
      <c r="M150" s="183">
        <f>132000000-32000000+32000000</f>
        <v>132000000</v>
      </c>
      <c r="N150" s="37"/>
      <c r="O150" s="37"/>
      <c r="P150" s="37"/>
      <c r="Q150" s="37"/>
      <c r="R150" s="37"/>
      <c r="S150" s="37"/>
      <c r="T150" s="37"/>
      <c r="U150" s="37"/>
      <c r="V150" s="37"/>
      <c r="W150" s="37"/>
      <c r="X150" s="37"/>
      <c r="Y150" s="37"/>
      <c r="Z150" s="37"/>
      <c r="AA150" s="37"/>
      <c r="AB150" s="37"/>
      <c r="AC150" s="37"/>
      <c r="AD150" s="37"/>
      <c r="AE150" s="37"/>
      <c r="AF150" s="37"/>
      <c r="AG150" s="37"/>
      <c r="AH150" s="37"/>
    </row>
    <row r="151" spans="1:34" ht="38.25" x14ac:dyDescent="0.2">
      <c r="A151" s="37">
        <v>8</v>
      </c>
      <c r="B151" s="189"/>
      <c r="C151" s="190" t="s">
        <v>10</v>
      </c>
      <c r="D151" s="189"/>
      <c r="E151" s="189"/>
      <c r="F151" s="189"/>
      <c r="G151" s="195">
        <v>296126</v>
      </c>
      <c r="H151" s="80" t="s">
        <v>408</v>
      </c>
      <c r="I151" s="189"/>
      <c r="J151" s="190"/>
      <c r="K151" s="189"/>
      <c r="L151" s="189"/>
      <c r="M151" s="183">
        <f>+M152</f>
        <v>1949079856</v>
      </c>
      <c r="N151" s="37"/>
      <c r="O151" s="37"/>
      <c r="P151" s="37"/>
      <c r="Q151" s="37"/>
      <c r="R151" s="37"/>
      <c r="S151" s="37"/>
      <c r="T151" s="37"/>
      <c r="U151" s="37"/>
      <c r="V151" s="37"/>
      <c r="W151" s="37"/>
      <c r="X151" s="37"/>
      <c r="Y151" s="37"/>
      <c r="Z151" s="37"/>
      <c r="AA151" s="37"/>
      <c r="AB151" s="37"/>
      <c r="AC151" s="37"/>
      <c r="AD151" s="37"/>
      <c r="AE151" s="37"/>
      <c r="AF151" s="37"/>
      <c r="AG151" s="37"/>
      <c r="AH151" s="37"/>
    </row>
    <row r="152" spans="1:34" x14ac:dyDescent="0.2">
      <c r="A152" s="37">
        <v>9</v>
      </c>
      <c r="B152" s="189"/>
      <c r="C152" s="190"/>
      <c r="D152" s="189"/>
      <c r="E152" s="189"/>
      <c r="F152" s="189"/>
      <c r="G152" s="195"/>
      <c r="H152" s="80" t="s">
        <v>835</v>
      </c>
      <c r="I152" s="189"/>
      <c r="J152" s="190"/>
      <c r="K152" s="189"/>
      <c r="L152" s="189"/>
      <c r="M152" s="183">
        <f>660000000+180000000+1350000000+759079856-1000000000</f>
        <v>1949079856</v>
      </c>
      <c r="N152" s="37"/>
      <c r="O152" s="37"/>
      <c r="P152" s="37"/>
      <c r="Q152" s="37"/>
      <c r="R152" s="37"/>
      <c r="S152" s="37"/>
      <c r="T152" s="37"/>
      <c r="U152" s="37"/>
      <c r="V152" s="37"/>
      <c r="W152" s="37"/>
      <c r="X152" s="37"/>
      <c r="Y152" s="37"/>
      <c r="Z152" s="37"/>
      <c r="AA152" s="37"/>
      <c r="AB152" s="37"/>
      <c r="AC152" s="37"/>
      <c r="AD152" s="37"/>
      <c r="AE152" s="37"/>
      <c r="AF152" s="37"/>
      <c r="AG152" s="37"/>
      <c r="AH152" s="37"/>
    </row>
    <row r="153" spans="1:34" x14ac:dyDescent="0.2">
      <c r="A153" s="37"/>
      <c r="B153" s="189"/>
      <c r="C153" s="190"/>
      <c r="D153" s="189"/>
      <c r="E153" s="189"/>
      <c r="F153" s="189"/>
      <c r="G153" s="195"/>
      <c r="H153" s="80"/>
      <c r="I153" s="189"/>
      <c r="J153" s="190"/>
      <c r="K153" s="189"/>
      <c r="L153" s="189"/>
      <c r="M153" s="183"/>
      <c r="N153" s="37"/>
      <c r="O153" s="37"/>
      <c r="P153" s="37"/>
      <c r="Q153" s="37"/>
      <c r="R153" s="37"/>
      <c r="S153" s="37"/>
      <c r="T153" s="37"/>
      <c r="U153" s="37"/>
      <c r="V153" s="37"/>
      <c r="W153" s="37"/>
      <c r="X153" s="37"/>
      <c r="Y153" s="37"/>
      <c r="Z153" s="37"/>
      <c r="AA153" s="37"/>
      <c r="AB153" s="37"/>
      <c r="AC153" s="37"/>
      <c r="AD153" s="37"/>
      <c r="AE153" s="37"/>
      <c r="AF153" s="37"/>
      <c r="AG153" s="37"/>
      <c r="AH153" s="37"/>
    </row>
    <row r="154" spans="1:34" x14ac:dyDescent="0.2">
      <c r="A154" s="37">
        <v>4</v>
      </c>
      <c r="B154" s="189" t="s">
        <v>885</v>
      </c>
      <c r="C154" s="190"/>
      <c r="D154" s="189"/>
      <c r="E154" s="189"/>
      <c r="F154" s="189"/>
      <c r="G154" s="195"/>
      <c r="H154" s="173" t="s">
        <v>740</v>
      </c>
      <c r="I154" s="189"/>
      <c r="J154" s="190"/>
      <c r="K154" s="189"/>
      <c r="L154" s="189"/>
      <c r="M154" s="91">
        <f>+M157</f>
        <v>340000000</v>
      </c>
      <c r="N154" s="37"/>
      <c r="O154" s="37"/>
      <c r="P154" s="37"/>
      <c r="Q154" s="37"/>
      <c r="R154" s="37"/>
      <c r="S154" s="37"/>
      <c r="T154" s="37"/>
      <c r="U154" s="37"/>
      <c r="V154" s="37"/>
      <c r="W154" s="37"/>
      <c r="X154" s="37"/>
      <c r="Y154" s="37"/>
      <c r="Z154" s="37"/>
      <c r="AA154" s="37"/>
      <c r="AB154" s="37"/>
      <c r="AC154" s="37"/>
      <c r="AD154" s="37"/>
      <c r="AE154" s="37"/>
      <c r="AF154" s="37"/>
      <c r="AG154" s="37"/>
      <c r="AH154" s="37"/>
    </row>
    <row r="155" spans="1:34" ht="25.5" x14ac:dyDescent="0.2">
      <c r="A155" s="37"/>
      <c r="B155" s="189"/>
      <c r="C155" s="190"/>
      <c r="D155" s="189"/>
      <c r="E155" s="196">
        <v>36</v>
      </c>
      <c r="F155" s="189" t="s">
        <v>268</v>
      </c>
      <c r="G155" s="195"/>
      <c r="H155" s="80" t="s">
        <v>49</v>
      </c>
      <c r="I155" s="196">
        <v>100</v>
      </c>
      <c r="J155" s="190" t="s">
        <v>572</v>
      </c>
      <c r="K155" s="196">
        <v>100</v>
      </c>
      <c r="L155" s="189" t="s">
        <v>1165</v>
      </c>
      <c r="M155" s="194"/>
      <c r="N155" s="37"/>
      <c r="O155" s="37"/>
      <c r="P155" s="37"/>
      <c r="Q155" s="37"/>
      <c r="R155" s="37"/>
      <c r="S155" s="37"/>
      <c r="T155" s="37"/>
      <c r="U155" s="37"/>
      <c r="V155" s="37"/>
      <c r="W155" s="37"/>
      <c r="X155" s="37"/>
      <c r="Y155" s="37"/>
      <c r="Z155" s="37"/>
      <c r="AA155" s="37"/>
      <c r="AB155" s="37"/>
      <c r="AC155" s="37"/>
      <c r="AD155" s="37"/>
      <c r="AE155" s="37"/>
      <c r="AF155" s="37"/>
      <c r="AG155" s="37"/>
      <c r="AH155" s="37"/>
    </row>
    <row r="156" spans="1:34" ht="38.25" x14ac:dyDescent="0.2">
      <c r="A156" s="37">
        <v>5</v>
      </c>
      <c r="B156" s="189"/>
      <c r="C156" s="190"/>
      <c r="D156" s="189"/>
      <c r="E156" s="196">
        <v>78</v>
      </c>
      <c r="F156" s="189" t="s">
        <v>268</v>
      </c>
      <c r="G156" s="195"/>
      <c r="H156" s="80" t="s">
        <v>854</v>
      </c>
      <c r="I156" s="197">
        <v>1.95</v>
      </c>
      <c r="J156" s="190" t="s">
        <v>440</v>
      </c>
      <c r="K156" s="196" t="s">
        <v>1321</v>
      </c>
      <c r="L156" s="189" t="s">
        <v>1320</v>
      </c>
      <c r="M156" s="194"/>
      <c r="N156" s="37"/>
      <c r="O156" s="37"/>
      <c r="P156" s="37"/>
      <c r="Q156" s="37"/>
      <c r="R156" s="37"/>
      <c r="S156" s="37"/>
      <c r="T156" s="37"/>
      <c r="U156" s="37"/>
      <c r="V156" s="37"/>
      <c r="W156" s="37"/>
      <c r="X156" s="37"/>
      <c r="Y156" s="37"/>
      <c r="Z156" s="37"/>
      <c r="AA156" s="37"/>
      <c r="AB156" s="37"/>
      <c r="AC156" s="37"/>
      <c r="AD156" s="37"/>
      <c r="AE156" s="37"/>
      <c r="AF156" s="37"/>
      <c r="AG156" s="37"/>
      <c r="AH156" s="37"/>
    </row>
    <row r="157" spans="1:34" x14ac:dyDescent="0.2">
      <c r="A157" s="37">
        <v>6</v>
      </c>
      <c r="B157" s="189" t="s">
        <v>497</v>
      </c>
      <c r="C157" s="190"/>
      <c r="D157" s="189"/>
      <c r="E157" s="189"/>
      <c r="F157" s="189"/>
      <c r="G157" s="195"/>
      <c r="H157" s="173" t="s">
        <v>316</v>
      </c>
      <c r="I157" s="189"/>
      <c r="J157" s="190"/>
      <c r="K157" s="189"/>
      <c r="L157" s="189"/>
      <c r="M157" s="91">
        <f>+M159</f>
        <v>340000000</v>
      </c>
      <c r="N157" s="37"/>
      <c r="O157" s="37"/>
      <c r="P157" s="37"/>
      <c r="Q157" s="37"/>
      <c r="R157" s="37"/>
      <c r="S157" s="37"/>
      <c r="T157" s="37"/>
      <c r="U157" s="37"/>
      <c r="V157" s="37"/>
      <c r="W157" s="37"/>
      <c r="X157" s="37"/>
      <c r="Y157" s="37"/>
      <c r="Z157" s="37"/>
      <c r="AA157" s="37"/>
      <c r="AB157" s="37"/>
      <c r="AC157" s="37"/>
      <c r="AD157" s="37"/>
      <c r="AE157" s="37"/>
      <c r="AF157" s="37"/>
      <c r="AG157" s="37"/>
      <c r="AH157" s="37"/>
    </row>
    <row r="158" spans="1:34" ht="38.25" x14ac:dyDescent="0.2">
      <c r="A158" s="37">
        <v>7</v>
      </c>
      <c r="B158" s="189"/>
      <c r="C158" s="190"/>
      <c r="D158" s="189" t="s">
        <v>645</v>
      </c>
      <c r="E158" s="196">
        <v>163</v>
      </c>
      <c r="F158" s="189" t="s">
        <v>1080</v>
      </c>
      <c r="G158" s="195"/>
      <c r="H158" s="80" t="s">
        <v>366</v>
      </c>
      <c r="I158" s="196">
        <v>6206</v>
      </c>
      <c r="J158" s="190" t="s">
        <v>315</v>
      </c>
      <c r="K158" s="196">
        <v>949</v>
      </c>
      <c r="L158" s="189" t="s">
        <v>1319</v>
      </c>
      <c r="M158" s="194"/>
      <c r="N158" s="37"/>
      <c r="O158" s="37"/>
      <c r="P158" s="37"/>
      <c r="Q158" s="37"/>
      <c r="R158" s="37"/>
      <c r="S158" s="37"/>
      <c r="T158" s="37"/>
      <c r="U158" s="37"/>
      <c r="V158" s="37"/>
      <c r="W158" s="37"/>
      <c r="X158" s="37"/>
      <c r="Y158" s="37"/>
      <c r="Z158" s="37"/>
      <c r="AA158" s="37"/>
      <c r="AB158" s="37"/>
      <c r="AC158" s="37"/>
      <c r="AD158" s="37"/>
      <c r="AE158" s="37"/>
      <c r="AF158" s="37"/>
      <c r="AG158" s="37"/>
      <c r="AH158" s="37"/>
    </row>
    <row r="159" spans="1:34" ht="38.25" x14ac:dyDescent="0.2">
      <c r="A159" s="37">
        <v>8</v>
      </c>
      <c r="B159" s="189"/>
      <c r="C159" s="190" t="s">
        <v>10</v>
      </c>
      <c r="D159" s="189"/>
      <c r="E159" s="189"/>
      <c r="F159" s="189"/>
      <c r="G159" s="195">
        <v>296118</v>
      </c>
      <c r="H159" s="80" t="s">
        <v>32</v>
      </c>
      <c r="I159" s="189"/>
      <c r="J159" s="190"/>
      <c r="K159" s="189"/>
      <c r="L159" s="189"/>
      <c r="M159" s="183">
        <f>+M160</f>
        <v>340000000</v>
      </c>
      <c r="N159" s="37"/>
      <c r="O159" s="37"/>
      <c r="P159" s="37"/>
      <c r="Q159" s="37"/>
      <c r="R159" s="37"/>
      <c r="S159" s="37"/>
      <c r="T159" s="37"/>
      <c r="U159" s="37"/>
      <c r="V159" s="37"/>
      <c r="W159" s="37"/>
      <c r="X159" s="37"/>
      <c r="Y159" s="37"/>
      <c r="Z159" s="37"/>
      <c r="AA159" s="37"/>
      <c r="AB159" s="37"/>
      <c r="AC159" s="37"/>
      <c r="AD159" s="37"/>
      <c r="AE159" s="37"/>
      <c r="AF159" s="37"/>
      <c r="AG159" s="37"/>
      <c r="AH159" s="37"/>
    </row>
    <row r="160" spans="1:34" x14ac:dyDescent="0.2">
      <c r="A160" s="37">
        <v>9</v>
      </c>
      <c r="B160" s="189"/>
      <c r="C160" s="190"/>
      <c r="D160" s="189"/>
      <c r="E160" s="189"/>
      <c r="F160" s="189"/>
      <c r="G160" s="195"/>
      <c r="H160" s="80" t="s">
        <v>835</v>
      </c>
      <c r="I160" s="189"/>
      <c r="J160" s="190"/>
      <c r="K160" s="189"/>
      <c r="L160" s="189"/>
      <c r="M160" s="183">
        <f>390000000-150000000+100000000</f>
        <v>340000000</v>
      </c>
      <c r="N160" s="37"/>
      <c r="O160" s="37"/>
      <c r="P160" s="37"/>
      <c r="Q160" s="37"/>
      <c r="R160" s="37"/>
      <c r="S160" s="37"/>
      <c r="T160" s="37"/>
      <c r="U160" s="37"/>
      <c r="V160" s="37"/>
      <c r="W160" s="37"/>
      <c r="X160" s="37"/>
      <c r="Y160" s="37"/>
      <c r="Z160" s="37"/>
      <c r="AA160" s="37"/>
      <c r="AB160" s="37"/>
      <c r="AC160" s="37"/>
      <c r="AD160" s="37"/>
      <c r="AE160" s="37"/>
      <c r="AF160" s="37"/>
      <c r="AG160" s="37"/>
      <c r="AH160" s="37"/>
    </row>
    <row r="161" spans="1:34" x14ac:dyDescent="0.2">
      <c r="A161" s="37">
        <v>4</v>
      </c>
      <c r="B161" s="189" t="s">
        <v>450</v>
      </c>
      <c r="C161" s="190"/>
      <c r="D161" s="189"/>
      <c r="E161" s="189"/>
      <c r="F161" s="189"/>
      <c r="G161" s="195"/>
      <c r="H161" s="173" t="s">
        <v>299</v>
      </c>
      <c r="I161" s="189"/>
      <c r="J161" s="190"/>
      <c r="K161" s="189"/>
      <c r="L161" s="189"/>
      <c r="M161" s="91">
        <f>+M166</f>
        <v>42107941000</v>
      </c>
      <c r="N161" s="37"/>
      <c r="O161" s="37"/>
      <c r="P161" s="37"/>
      <c r="Q161" s="37"/>
      <c r="R161" s="37"/>
      <c r="S161" s="37"/>
      <c r="T161" s="37"/>
      <c r="U161" s="37"/>
      <c r="V161" s="37"/>
      <c r="W161" s="37"/>
      <c r="X161" s="37"/>
      <c r="Y161" s="37"/>
      <c r="Z161" s="37"/>
      <c r="AA161" s="37"/>
      <c r="AB161" s="37"/>
      <c r="AC161" s="37"/>
      <c r="AD161" s="37"/>
      <c r="AE161" s="37"/>
      <c r="AF161" s="37"/>
      <c r="AG161" s="37"/>
      <c r="AH161" s="37"/>
    </row>
    <row r="162" spans="1:34" ht="25.5" x14ac:dyDescent="0.2">
      <c r="A162" s="37"/>
      <c r="B162" s="189"/>
      <c r="C162" s="190"/>
      <c r="D162" s="189"/>
      <c r="E162" s="196">
        <v>36</v>
      </c>
      <c r="F162" s="189" t="s">
        <v>268</v>
      </c>
      <c r="G162" s="195"/>
      <c r="H162" s="80" t="s">
        <v>49</v>
      </c>
      <c r="I162" s="196">
        <v>100</v>
      </c>
      <c r="J162" s="190" t="s">
        <v>572</v>
      </c>
      <c r="K162" s="196">
        <v>100</v>
      </c>
      <c r="L162" s="189" t="s">
        <v>1165</v>
      </c>
      <c r="M162" s="194"/>
      <c r="N162" s="37"/>
      <c r="O162" s="37"/>
      <c r="P162" s="37"/>
      <c r="Q162" s="37"/>
      <c r="R162" s="37"/>
      <c r="S162" s="37"/>
      <c r="T162" s="37"/>
      <c r="U162" s="37"/>
      <c r="V162" s="37"/>
      <c r="W162" s="37"/>
      <c r="X162" s="37"/>
      <c r="Y162" s="37"/>
      <c r="Z162" s="37"/>
      <c r="AA162" s="37"/>
      <c r="AB162" s="37"/>
      <c r="AC162" s="37"/>
      <c r="AD162" s="37"/>
      <c r="AE162" s="37"/>
      <c r="AF162" s="37"/>
      <c r="AG162" s="37"/>
      <c r="AH162" s="37"/>
    </row>
    <row r="163" spans="1:34" ht="38.25" x14ac:dyDescent="0.2">
      <c r="A163" s="37"/>
      <c r="B163" s="189"/>
      <c r="C163" s="190"/>
      <c r="D163" s="189"/>
      <c r="E163" s="196">
        <v>77</v>
      </c>
      <c r="F163" s="189" t="s">
        <v>268</v>
      </c>
      <c r="G163" s="195"/>
      <c r="H163" s="80" t="s">
        <v>686</v>
      </c>
      <c r="I163" s="196">
        <v>100</v>
      </c>
      <c r="J163" s="190" t="s">
        <v>849</v>
      </c>
      <c r="K163" s="196">
        <v>0</v>
      </c>
      <c r="L163" s="189" t="s">
        <v>1209</v>
      </c>
      <c r="M163" s="194"/>
      <c r="N163" s="37"/>
      <c r="O163" s="37"/>
      <c r="P163" s="37"/>
      <c r="Q163" s="37"/>
      <c r="R163" s="37"/>
      <c r="S163" s="37"/>
      <c r="T163" s="37"/>
      <c r="U163" s="37"/>
      <c r="V163" s="37"/>
      <c r="W163" s="37"/>
      <c r="X163" s="37"/>
      <c r="Y163" s="37"/>
      <c r="Z163" s="37"/>
      <c r="AA163" s="37"/>
      <c r="AB163" s="37"/>
      <c r="AC163" s="37"/>
      <c r="AD163" s="37"/>
      <c r="AE163" s="37"/>
      <c r="AF163" s="37"/>
      <c r="AG163" s="37"/>
      <c r="AH163" s="37"/>
    </row>
    <row r="164" spans="1:34" ht="38.25" x14ac:dyDescent="0.2">
      <c r="A164" s="37">
        <v>5</v>
      </c>
      <c r="B164" s="189"/>
      <c r="C164" s="190"/>
      <c r="D164" s="189"/>
      <c r="E164" s="196">
        <v>78</v>
      </c>
      <c r="F164" s="189" t="s">
        <v>268</v>
      </c>
      <c r="G164" s="195"/>
      <c r="H164" s="80" t="s">
        <v>854</v>
      </c>
      <c r="I164" s="197">
        <v>1.95</v>
      </c>
      <c r="J164" s="190" t="s">
        <v>440</v>
      </c>
      <c r="K164" s="196" t="s">
        <v>1321</v>
      </c>
      <c r="L164" s="189" t="s">
        <v>1320</v>
      </c>
      <c r="M164" s="194"/>
      <c r="N164" s="37"/>
      <c r="O164" s="37"/>
      <c r="P164" s="37"/>
      <c r="Q164" s="37"/>
      <c r="R164" s="37"/>
      <c r="S164" s="37"/>
      <c r="T164" s="37"/>
      <c r="U164" s="37"/>
      <c r="V164" s="37"/>
      <c r="W164" s="37"/>
      <c r="X164" s="37"/>
      <c r="Y164" s="37"/>
      <c r="Z164" s="37"/>
      <c r="AA164" s="37"/>
      <c r="AB164" s="37"/>
      <c r="AC164" s="37"/>
      <c r="AD164" s="37"/>
      <c r="AE164" s="37"/>
      <c r="AF164" s="37"/>
      <c r="AG164" s="37"/>
      <c r="AH164" s="37"/>
    </row>
    <row r="165" spans="1:34" x14ac:dyDescent="0.2">
      <c r="A165" s="37">
        <v>5</v>
      </c>
      <c r="B165" s="189"/>
      <c r="C165" s="190"/>
      <c r="D165" s="189"/>
      <c r="E165" s="175"/>
      <c r="F165" s="175"/>
      <c r="G165" s="175"/>
      <c r="H165" s="175"/>
      <c r="I165" s="175"/>
      <c r="J165" s="175"/>
      <c r="K165" s="175"/>
      <c r="L165" s="175"/>
      <c r="M165" s="194"/>
      <c r="N165" s="37"/>
      <c r="O165" s="37"/>
      <c r="P165" s="37"/>
      <c r="Q165" s="37"/>
      <c r="R165" s="37"/>
      <c r="S165" s="37"/>
      <c r="T165" s="37"/>
      <c r="U165" s="37"/>
      <c r="V165" s="37"/>
      <c r="W165" s="37"/>
      <c r="X165" s="37"/>
      <c r="Y165" s="37"/>
      <c r="Z165" s="37"/>
      <c r="AA165" s="37"/>
      <c r="AB165" s="37"/>
      <c r="AC165" s="37"/>
      <c r="AD165" s="37"/>
      <c r="AE165" s="37"/>
      <c r="AF165" s="37"/>
      <c r="AG165" s="37"/>
      <c r="AH165" s="37"/>
    </row>
    <row r="166" spans="1:34" x14ac:dyDescent="0.2">
      <c r="A166" s="37">
        <v>6</v>
      </c>
      <c r="B166" s="189" t="s">
        <v>497</v>
      </c>
      <c r="C166" s="190"/>
      <c r="D166" s="189"/>
      <c r="E166" s="189"/>
      <c r="F166" s="189"/>
      <c r="G166" s="195"/>
      <c r="H166" s="173" t="s">
        <v>316</v>
      </c>
      <c r="I166" s="189"/>
      <c r="J166" s="190"/>
      <c r="K166" s="189"/>
      <c r="L166" s="189"/>
      <c r="M166" s="91">
        <f>+M169+M171</f>
        <v>42107941000</v>
      </c>
      <c r="N166" s="37"/>
      <c r="O166" s="37"/>
      <c r="P166" s="37"/>
      <c r="Q166" s="37"/>
      <c r="R166" s="37"/>
      <c r="S166" s="37"/>
      <c r="T166" s="37"/>
      <c r="U166" s="37"/>
      <c r="V166" s="37"/>
      <c r="W166" s="37"/>
      <c r="X166" s="37"/>
      <c r="Y166" s="37"/>
      <c r="Z166" s="37"/>
      <c r="AA166" s="37"/>
      <c r="AB166" s="37"/>
      <c r="AC166" s="37"/>
      <c r="AD166" s="37"/>
      <c r="AE166" s="37"/>
      <c r="AF166" s="37"/>
      <c r="AG166" s="37"/>
      <c r="AH166" s="37"/>
    </row>
    <row r="167" spans="1:34" ht="38.25" x14ac:dyDescent="0.2">
      <c r="A167" s="37"/>
      <c r="B167" s="189"/>
      <c r="C167" s="190"/>
      <c r="D167" s="189" t="s">
        <v>645</v>
      </c>
      <c r="E167" s="196">
        <v>183</v>
      </c>
      <c r="F167" s="189" t="s">
        <v>1080</v>
      </c>
      <c r="G167" s="195"/>
      <c r="H167" s="80" t="s">
        <v>560</v>
      </c>
      <c r="I167" s="196">
        <v>3817</v>
      </c>
      <c r="J167" s="190" t="s">
        <v>315</v>
      </c>
      <c r="K167" s="196">
        <v>585</v>
      </c>
      <c r="L167" s="196">
        <v>1029</v>
      </c>
      <c r="M167" s="91"/>
      <c r="N167" s="37"/>
      <c r="O167" s="37"/>
      <c r="P167" s="37"/>
      <c r="Q167" s="37"/>
      <c r="R167" s="37"/>
      <c r="S167" s="37"/>
      <c r="T167" s="37"/>
      <c r="U167" s="37"/>
      <c r="V167" s="37"/>
      <c r="W167" s="37"/>
      <c r="X167" s="37"/>
      <c r="Y167" s="37"/>
      <c r="Z167" s="37"/>
      <c r="AA167" s="37"/>
      <c r="AB167" s="37"/>
      <c r="AC167" s="37"/>
      <c r="AD167" s="37"/>
      <c r="AE167" s="37"/>
      <c r="AF167" s="37"/>
      <c r="AG167" s="37"/>
      <c r="AH167" s="37"/>
    </row>
    <row r="168" spans="1:34" ht="38.25" x14ac:dyDescent="0.2">
      <c r="A168" s="37">
        <v>7</v>
      </c>
      <c r="B168" s="189"/>
      <c r="C168" s="190"/>
      <c r="D168" s="189" t="s">
        <v>1085</v>
      </c>
      <c r="E168" s="196">
        <v>192</v>
      </c>
      <c r="F168" s="189" t="s">
        <v>319</v>
      </c>
      <c r="G168" s="195"/>
      <c r="H168" s="80" t="s">
        <v>289</v>
      </c>
      <c r="I168" s="196">
        <v>100</v>
      </c>
      <c r="J168" s="190" t="s">
        <v>179</v>
      </c>
      <c r="K168" s="196">
        <v>100</v>
      </c>
      <c r="L168" s="189" t="s">
        <v>1165</v>
      </c>
      <c r="M168" s="194"/>
      <c r="N168" s="37"/>
      <c r="O168" s="37"/>
      <c r="P168" s="37"/>
      <c r="Q168" s="37"/>
      <c r="R168" s="37"/>
      <c r="S168" s="37"/>
      <c r="T168" s="37"/>
      <c r="U168" s="37"/>
      <c r="V168" s="37"/>
      <c r="W168" s="37"/>
      <c r="X168" s="37"/>
      <c r="Y168" s="37"/>
      <c r="Z168" s="37"/>
      <c r="AA168" s="37"/>
      <c r="AB168" s="37"/>
      <c r="AC168" s="37"/>
      <c r="AD168" s="37"/>
      <c r="AE168" s="37"/>
      <c r="AF168" s="37"/>
      <c r="AG168" s="37"/>
      <c r="AH168" s="37"/>
    </row>
    <row r="169" spans="1:34" ht="38.25" x14ac:dyDescent="0.2">
      <c r="A169" s="37">
        <v>8</v>
      </c>
      <c r="B169" s="189"/>
      <c r="C169" s="190" t="s">
        <v>10</v>
      </c>
      <c r="D169" s="189"/>
      <c r="E169" s="189"/>
      <c r="F169" s="189"/>
      <c r="G169" s="195">
        <v>296118</v>
      </c>
      <c r="H169" s="80" t="s">
        <v>32</v>
      </c>
      <c r="I169" s="189"/>
      <c r="J169" s="190"/>
      <c r="K169" s="189"/>
      <c r="L169" s="189"/>
      <c r="M169" s="183">
        <f>+M170</f>
        <v>240000000</v>
      </c>
      <c r="N169" s="37"/>
      <c r="O169" s="37"/>
      <c r="P169" s="37"/>
      <c r="Q169" s="37"/>
      <c r="R169" s="37"/>
      <c r="S169" s="37"/>
      <c r="T169" s="37"/>
      <c r="U169" s="37"/>
      <c r="V169" s="37"/>
      <c r="W169" s="37"/>
      <c r="X169" s="37"/>
      <c r="Y169" s="37"/>
      <c r="Z169" s="37"/>
      <c r="AA169" s="37"/>
      <c r="AB169" s="37"/>
      <c r="AC169" s="37"/>
      <c r="AD169" s="37"/>
      <c r="AE169" s="37"/>
      <c r="AF169" s="37"/>
      <c r="AG169" s="37"/>
      <c r="AH169" s="37"/>
    </row>
    <row r="170" spans="1:34" x14ac:dyDescent="0.2">
      <c r="A170" s="37">
        <v>9</v>
      </c>
      <c r="B170" s="189"/>
      <c r="C170" s="190"/>
      <c r="D170" s="189"/>
      <c r="E170" s="189"/>
      <c r="F170" s="189"/>
      <c r="G170" s="195"/>
      <c r="H170" s="80" t="s">
        <v>835</v>
      </c>
      <c r="I170" s="189"/>
      <c r="J170" s="190"/>
      <c r="K170" s="189"/>
      <c r="L170" s="189"/>
      <c r="M170" s="183">
        <f>240000000-40000000+40000000</f>
        <v>240000000</v>
      </c>
      <c r="N170" s="37"/>
      <c r="O170" s="37"/>
      <c r="P170" s="37"/>
      <c r="Q170" s="37"/>
      <c r="R170" s="37"/>
      <c r="S170" s="37"/>
      <c r="T170" s="37"/>
      <c r="U170" s="37"/>
      <c r="V170" s="37"/>
      <c r="W170" s="37"/>
      <c r="X170" s="37"/>
      <c r="Y170" s="37"/>
      <c r="Z170" s="37"/>
      <c r="AA170" s="37"/>
      <c r="AB170" s="37"/>
      <c r="AC170" s="37"/>
      <c r="AD170" s="37"/>
      <c r="AE170" s="37"/>
      <c r="AF170" s="37"/>
      <c r="AG170" s="37"/>
      <c r="AH170" s="37"/>
    </row>
    <row r="171" spans="1:34" ht="76.5" x14ac:dyDescent="0.2">
      <c r="A171" s="37">
        <v>8</v>
      </c>
      <c r="B171" s="189"/>
      <c r="C171" s="190" t="s">
        <v>10</v>
      </c>
      <c r="D171" s="189"/>
      <c r="E171" s="189"/>
      <c r="F171" s="189"/>
      <c r="G171" s="195">
        <v>296127</v>
      </c>
      <c r="H171" s="176" t="s">
        <v>67</v>
      </c>
      <c r="I171" s="189"/>
      <c r="J171" s="190"/>
      <c r="K171" s="189"/>
      <c r="L171" s="189"/>
      <c r="M171" s="183">
        <f>+M172</f>
        <v>41867941000</v>
      </c>
      <c r="N171" s="37"/>
      <c r="O171" s="37"/>
      <c r="P171" s="37"/>
      <c r="Q171" s="37"/>
      <c r="R171" s="37"/>
      <c r="S171" s="37"/>
      <c r="T171" s="37"/>
      <c r="U171" s="37"/>
      <c r="V171" s="37"/>
      <c r="W171" s="37"/>
      <c r="X171" s="37"/>
      <c r="Y171" s="37"/>
      <c r="Z171" s="37"/>
      <c r="AA171" s="37"/>
      <c r="AB171" s="37"/>
      <c r="AC171" s="37"/>
      <c r="AD171" s="37"/>
      <c r="AE171" s="37"/>
      <c r="AF171" s="37"/>
      <c r="AG171" s="37"/>
      <c r="AH171" s="37"/>
    </row>
    <row r="172" spans="1:34" ht="25.5" x14ac:dyDescent="0.2">
      <c r="A172" s="37">
        <v>9</v>
      </c>
      <c r="B172" s="189"/>
      <c r="C172" s="190"/>
      <c r="D172" s="189"/>
      <c r="E172" s="189"/>
      <c r="F172" s="189"/>
      <c r="G172" s="195"/>
      <c r="H172" s="80" t="s">
        <v>142</v>
      </c>
      <c r="I172" s="189"/>
      <c r="J172" s="190"/>
      <c r="K172" s="189"/>
      <c r="L172" s="189"/>
      <c r="M172" s="183">
        <f>41867940908+92</f>
        <v>41867941000</v>
      </c>
      <c r="N172" s="37"/>
      <c r="O172" s="37"/>
      <c r="P172" s="37"/>
      <c r="Q172" s="37"/>
      <c r="R172" s="37"/>
      <c r="S172" s="37"/>
      <c r="T172" s="37"/>
      <c r="U172" s="37"/>
      <c r="V172" s="37"/>
      <c r="W172" s="37"/>
      <c r="X172" s="37"/>
      <c r="Y172" s="37"/>
      <c r="Z172" s="37"/>
      <c r="AA172" s="37"/>
      <c r="AB172" s="37"/>
      <c r="AC172" s="37"/>
      <c r="AD172" s="37"/>
      <c r="AE172" s="37"/>
      <c r="AF172" s="37"/>
      <c r="AG172" s="37"/>
      <c r="AH172" s="37"/>
    </row>
    <row r="173" spans="1:34" ht="25.5" x14ac:dyDescent="0.2">
      <c r="A173" s="37">
        <v>4</v>
      </c>
      <c r="B173" s="189" t="s">
        <v>1069</v>
      </c>
      <c r="C173" s="190"/>
      <c r="D173" s="189"/>
      <c r="E173" s="189"/>
      <c r="F173" s="189"/>
      <c r="G173" s="195"/>
      <c r="H173" s="173" t="s">
        <v>101</v>
      </c>
      <c r="I173" s="189"/>
      <c r="J173" s="190"/>
      <c r="K173" s="189"/>
      <c r="L173" s="189"/>
      <c r="M173" s="91">
        <f>+M178</f>
        <v>150000000</v>
      </c>
      <c r="N173" s="37"/>
      <c r="O173" s="37"/>
      <c r="P173" s="37"/>
      <c r="Q173" s="37"/>
      <c r="R173" s="37"/>
      <c r="S173" s="37"/>
      <c r="T173" s="37"/>
      <c r="U173" s="37"/>
      <c r="V173" s="37"/>
      <c r="W173" s="37"/>
      <c r="X173" s="37"/>
      <c r="Y173" s="37"/>
      <c r="Z173" s="37"/>
      <c r="AA173" s="37"/>
      <c r="AB173" s="37"/>
      <c r="AC173" s="37"/>
      <c r="AD173" s="37"/>
      <c r="AE173" s="37"/>
      <c r="AF173" s="37"/>
      <c r="AG173" s="37"/>
      <c r="AH173" s="37"/>
    </row>
    <row r="174" spans="1:34" ht="38.25" x14ac:dyDescent="0.2">
      <c r="A174" s="37">
        <v>5</v>
      </c>
      <c r="B174" s="189"/>
      <c r="C174" s="190"/>
      <c r="D174" s="189"/>
      <c r="E174" s="196">
        <v>35</v>
      </c>
      <c r="F174" s="189" t="s">
        <v>268</v>
      </c>
      <c r="G174" s="195"/>
      <c r="H174" s="80" t="s">
        <v>1014</v>
      </c>
      <c r="I174" s="197">
        <v>1.95</v>
      </c>
      <c r="J174" s="190" t="s">
        <v>440</v>
      </c>
      <c r="K174" s="189" t="s">
        <v>1118</v>
      </c>
      <c r="L174" s="189" t="s">
        <v>1320</v>
      </c>
      <c r="M174" s="194"/>
      <c r="N174" s="37"/>
      <c r="O174" s="37"/>
      <c r="P174" s="37"/>
      <c r="Q174" s="37"/>
      <c r="R174" s="37"/>
      <c r="S174" s="37"/>
      <c r="T174" s="37"/>
      <c r="U174" s="37"/>
      <c r="V174" s="37"/>
      <c r="W174" s="37"/>
      <c r="X174" s="37"/>
      <c r="Y174" s="37"/>
      <c r="Z174" s="37"/>
      <c r="AA174" s="37"/>
      <c r="AB174" s="37"/>
      <c r="AC174" s="37"/>
      <c r="AD174" s="37"/>
      <c r="AE174" s="37"/>
      <c r="AF174" s="37"/>
      <c r="AG174" s="37"/>
      <c r="AH174" s="37"/>
    </row>
    <row r="175" spans="1:34" ht="25.5" x14ac:dyDescent="0.2">
      <c r="A175" s="37">
        <v>5</v>
      </c>
      <c r="B175" s="189"/>
      <c r="C175" s="190"/>
      <c r="D175" s="189"/>
      <c r="E175" s="196">
        <v>36</v>
      </c>
      <c r="F175" s="189" t="s">
        <v>268</v>
      </c>
      <c r="G175" s="195"/>
      <c r="H175" s="80" t="s">
        <v>49</v>
      </c>
      <c r="I175" s="196">
        <v>100</v>
      </c>
      <c r="J175" s="190" t="s">
        <v>572</v>
      </c>
      <c r="K175" s="196">
        <v>100</v>
      </c>
      <c r="L175" s="189" t="s">
        <v>1165</v>
      </c>
      <c r="M175" s="194"/>
      <c r="N175" s="37"/>
      <c r="O175" s="37"/>
      <c r="P175" s="37"/>
      <c r="Q175" s="37"/>
      <c r="R175" s="37"/>
      <c r="S175" s="37"/>
      <c r="T175" s="37"/>
      <c r="U175" s="37"/>
      <c r="V175" s="37"/>
      <c r="W175" s="37"/>
      <c r="X175" s="37"/>
      <c r="Y175" s="37"/>
      <c r="Z175" s="37"/>
      <c r="AA175" s="37"/>
      <c r="AB175" s="37"/>
      <c r="AC175" s="37"/>
      <c r="AD175" s="37"/>
      <c r="AE175" s="37"/>
      <c r="AF175" s="37"/>
      <c r="AG175" s="37"/>
      <c r="AH175" s="37"/>
    </row>
    <row r="176" spans="1:34" ht="25.5" x14ac:dyDescent="0.2">
      <c r="A176" s="37">
        <v>5</v>
      </c>
      <c r="B176" s="189"/>
      <c r="C176" s="190"/>
      <c r="D176" s="189"/>
      <c r="E176" s="196">
        <v>37</v>
      </c>
      <c r="F176" s="189" t="s">
        <v>268</v>
      </c>
      <c r="G176" s="195"/>
      <c r="H176" s="80" t="s">
        <v>918</v>
      </c>
      <c r="I176" s="197">
        <v>0.46</v>
      </c>
      <c r="J176" s="190" t="s">
        <v>440</v>
      </c>
      <c r="K176" s="196">
        <v>0</v>
      </c>
      <c r="L176" s="189" t="s">
        <v>1322</v>
      </c>
      <c r="M176" s="194"/>
      <c r="N176" s="37"/>
      <c r="O176" s="37"/>
      <c r="P176" s="37"/>
      <c r="Q176" s="37"/>
      <c r="R176" s="37"/>
      <c r="S176" s="37"/>
      <c r="T176" s="37"/>
      <c r="U176" s="37"/>
      <c r="V176" s="37"/>
      <c r="W176" s="37"/>
      <c r="X176" s="37"/>
      <c r="Y176" s="37"/>
      <c r="Z176" s="37"/>
      <c r="AA176" s="37"/>
      <c r="AB176" s="37"/>
      <c r="AC176" s="37"/>
      <c r="AD176" s="37"/>
      <c r="AE176" s="37"/>
      <c r="AF176" s="37"/>
      <c r="AG176" s="37"/>
      <c r="AH176" s="37"/>
    </row>
    <row r="177" spans="1:34" ht="38.25" x14ac:dyDescent="0.2">
      <c r="A177" s="37"/>
      <c r="B177" s="189"/>
      <c r="C177" s="190"/>
      <c r="D177" s="189"/>
      <c r="E177" s="196">
        <v>78</v>
      </c>
      <c r="F177" s="189" t="s">
        <v>268</v>
      </c>
      <c r="G177" s="195"/>
      <c r="H177" s="80" t="s">
        <v>854</v>
      </c>
      <c r="I177" s="197">
        <v>1.95</v>
      </c>
      <c r="J177" s="190" t="s">
        <v>440</v>
      </c>
      <c r="K177" s="196" t="s">
        <v>1321</v>
      </c>
      <c r="L177" s="189" t="s">
        <v>1323</v>
      </c>
      <c r="M177" s="194"/>
      <c r="N177" s="37"/>
      <c r="O177" s="37"/>
      <c r="P177" s="37"/>
      <c r="Q177" s="37"/>
      <c r="R177" s="37"/>
      <c r="S177" s="37"/>
      <c r="T177" s="37"/>
      <c r="U177" s="37"/>
      <c r="V177" s="37"/>
      <c r="W177" s="37"/>
      <c r="X177" s="37"/>
      <c r="Y177" s="37"/>
      <c r="Z177" s="37"/>
      <c r="AA177" s="37"/>
      <c r="AB177" s="37"/>
      <c r="AC177" s="37"/>
      <c r="AD177" s="37"/>
      <c r="AE177" s="37"/>
      <c r="AF177" s="37"/>
      <c r="AG177" s="37"/>
      <c r="AH177" s="37"/>
    </row>
    <row r="178" spans="1:34" x14ac:dyDescent="0.2">
      <c r="A178" s="37">
        <v>6</v>
      </c>
      <c r="B178" s="189" t="s">
        <v>955</v>
      </c>
      <c r="C178" s="190"/>
      <c r="D178" s="189"/>
      <c r="E178" s="189"/>
      <c r="F178" s="189"/>
      <c r="G178" s="195"/>
      <c r="H178" s="173" t="s">
        <v>667</v>
      </c>
      <c r="I178" s="189"/>
      <c r="J178" s="190"/>
      <c r="K178" s="189"/>
      <c r="L178" s="189"/>
      <c r="M178" s="91">
        <f>+M180</f>
        <v>150000000</v>
      </c>
      <c r="N178" s="37"/>
      <c r="O178" s="37"/>
      <c r="P178" s="37"/>
      <c r="Q178" s="37"/>
      <c r="R178" s="37"/>
      <c r="S178" s="37"/>
      <c r="T178" s="37"/>
      <c r="U178" s="37"/>
      <c r="V178" s="37"/>
      <c r="W178" s="37"/>
      <c r="X178" s="37"/>
      <c r="Y178" s="37"/>
      <c r="Z178" s="37"/>
      <c r="AA178" s="37"/>
      <c r="AB178" s="37"/>
      <c r="AC178" s="37"/>
      <c r="AD178" s="37"/>
      <c r="AE178" s="37"/>
      <c r="AF178" s="37"/>
      <c r="AG178" s="37"/>
      <c r="AH178" s="37"/>
    </row>
    <row r="179" spans="1:34" ht="25.5" x14ac:dyDescent="0.2">
      <c r="A179" s="37">
        <v>7</v>
      </c>
      <c r="B179" s="189"/>
      <c r="C179" s="190"/>
      <c r="D179" s="189" t="s">
        <v>986</v>
      </c>
      <c r="E179" s="196">
        <v>294</v>
      </c>
      <c r="F179" s="189" t="s">
        <v>1080</v>
      </c>
      <c r="G179" s="195"/>
      <c r="H179" s="80" t="s">
        <v>359</v>
      </c>
      <c r="I179" s="196">
        <v>3000</v>
      </c>
      <c r="J179" s="190" t="s">
        <v>816</v>
      </c>
      <c r="K179" s="196">
        <v>1247</v>
      </c>
      <c r="L179" s="196">
        <v>750</v>
      </c>
      <c r="M179" s="194"/>
      <c r="N179" s="37"/>
      <c r="O179" s="37"/>
      <c r="P179" s="37"/>
      <c r="Q179" s="37"/>
      <c r="R179" s="37"/>
      <c r="S179" s="37"/>
      <c r="T179" s="37"/>
      <c r="U179" s="37"/>
      <c r="V179" s="37"/>
      <c r="W179" s="37"/>
      <c r="X179" s="37"/>
      <c r="Y179" s="37"/>
      <c r="Z179" s="37"/>
      <c r="AA179" s="37"/>
      <c r="AB179" s="37"/>
      <c r="AC179" s="37"/>
      <c r="AD179" s="37"/>
      <c r="AE179" s="37"/>
      <c r="AF179" s="37"/>
      <c r="AG179" s="37"/>
      <c r="AH179" s="37"/>
    </row>
    <row r="180" spans="1:34" ht="38.25" x14ac:dyDescent="0.2">
      <c r="A180" s="37">
        <v>8</v>
      </c>
      <c r="B180" s="189"/>
      <c r="C180" s="190" t="s">
        <v>10</v>
      </c>
      <c r="D180" s="189"/>
      <c r="E180" s="189"/>
      <c r="F180" s="189"/>
      <c r="G180" s="195">
        <v>296129</v>
      </c>
      <c r="H180" s="80" t="s">
        <v>834</v>
      </c>
      <c r="I180" s="189"/>
      <c r="J180" s="190"/>
      <c r="K180" s="189"/>
      <c r="L180" s="189"/>
      <c r="M180" s="183">
        <f>+M181</f>
        <v>150000000</v>
      </c>
      <c r="N180" s="37"/>
      <c r="O180" s="37"/>
      <c r="P180" s="37"/>
      <c r="Q180" s="37"/>
      <c r="R180" s="37"/>
      <c r="S180" s="37"/>
      <c r="T180" s="37"/>
      <c r="U180" s="37"/>
      <c r="V180" s="37"/>
      <c r="W180" s="37"/>
      <c r="X180" s="37"/>
      <c r="Y180" s="37"/>
      <c r="Z180" s="37"/>
      <c r="AA180" s="37"/>
      <c r="AB180" s="37"/>
      <c r="AC180" s="37"/>
      <c r="AD180" s="37"/>
      <c r="AE180" s="37"/>
      <c r="AF180" s="37"/>
      <c r="AG180" s="37"/>
      <c r="AH180" s="37"/>
    </row>
    <row r="181" spans="1:34" x14ac:dyDescent="0.2">
      <c r="A181" s="37">
        <v>9</v>
      </c>
      <c r="B181" s="189"/>
      <c r="C181" s="190"/>
      <c r="D181" s="189"/>
      <c r="E181" s="189"/>
      <c r="F181" s="189"/>
      <c r="G181" s="195"/>
      <c r="H181" s="80" t="s">
        <v>835</v>
      </c>
      <c r="I181" s="189"/>
      <c r="J181" s="190"/>
      <c r="K181" s="189"/>
      <c r="L181" s="189"/>
      <c r="M181" s="183">
        <f>210000000-60000000</f>
        <v>150000000</v>
      </c>
      <c r="N181" s="37"/>
      <c r="O181" s="37"/>
      <c r="P181" s="37"/>
      <c r="Q181" s="37"/>
      <c r="R181" s="37"/>
      <c r="S181" s="37"/>
      <c r="T181" s="37"/>
      <c r="U181" s="37"/>
      <c r="V181" s="37"/>
      <c r="W181" s="37"/>
      <c r="X181" s="37"/>
      <c r="Y181" s="37"/>
      <c r="Z181" s="37"/>
      <c r="AA181" s="37"/>
      <c r="AB181" s="37"/>
      <c r="AC181" s="37"/>
      <c r="AD181" s="37"/>
      <c r="AE181" s="37"/>
      <c r="AF181" s="37"/>
      <c r="AG181" s="37"/>
      <c r="AH181" s="37"/>
    </row>
    <row r="182" spans="1:34" x14ac:dyDescent="0.2">
      <c r="A182" s="37"/>
      <c r="B182" s="189"/>
      <c r="C182" s="190"/>
      <c r="D182" s="189"/>
      <c r="E182" s="189"/>
      <c r="F182" s="189"/>
      <c r="G182" s="195"/>
      <c r="H182" s="80"/>
      <c r="I182" s="189"/>
      <c r="J182" s="190"/>
      <c r="K182" s="189"/>
      <c r="L182" s="189"/>
      <c r="M182" s="183"/>
      <c r="N182" s="37"/>
      <c r="O182" s="37"/>
      <c r="P182" s="37"/>
      <c r="Q182" s="37"/>
      <c r="R182" s="37"/>
      <c r="S182" s="37"/>
      <c r="T182" s="37"/>
      <c r="U182" s="37"/>
      <c r="V182" s="37"/>
      <c r="W182" s="37"/>
      <c r="X182" s="37"/>
      <c r="Y182" s="37"/>
      <c r="Z182" s="37"/>
      <c r="AA182" s="37"/>
      <c r="AB182" s="37"/>
      <c r="AC182" s="37"/>
      <c r="AD182" s="37"/>
      <c r="AE182" s="37"/>
      <c r="AF182" s="37"/>
      <c r="AG182" s="37"/>
      <c r="AH182" s="37"/>
    </row>
    <row r="183" spans="1:34" x14ac:dyDescent="0.2">
      <c r="A183" s="37"/>
      <c r="B183" s="189" t="s">
        <v>472</v>
      </c>
      <c r="C183" s="190"/>
      <c r="D183" s="189"/>
      <c r="E183" s="189"/>
      <c r="F183" s="189"/>
      <c r="G183" s="195"/>
      <c r="H183" s="81" t="s">
        <v>1012</v>
      </c>
      <c r="I183" s="189"/>
      <c r="J183" s="190"/>
      <c r="K183" s="189"/>
      <c r="L183" s="189"/>
      <c r="M183" s="91">
        <f>+M185</f>
        <v>50000000</v>
      </c>
      <c r="N183" s="37"/>
      <c r="O183" s="37"/>
      <c r="P183" s="37"/>
      <c r="Q183" s="37"/>
      <c r="R183" s="37"/>
      <c r="S183" s="37"/>
      <c r="T183" s="37"/>
      <c r="U183" s="37"/>
      <c r="V183" s="37"/>
      <c r="W183" s="37"/>
      <c r="X183" s="37"/>
      <c r="Y183" s="37"/>
      <c r="Z183" s="37"/>
      <c r="AA183" s="37"/>
      <c r="AB183" s="37"/>
      <c r="AC183" s="37"/>
      <c r="AD183" s="37"/>
      <c r="AE183" s="37"/>
      <c r="AF183" s="37"/>
      <c r="AG183" s="37"/>
      <c r="AH183" s="37"/>
    </row>
    <row r="184" spans="1:34" ht="38.25" x14ac:dyDescent="0.2">
      <c r="A184" s="37"/>
      <c r="B184" s="189"/>
      <c r="C184" s="190"/>
      <c r="D184" s="189"/>
      <c r="E184" s="189" t="s">
        <v>1365</v>
      </c>
      <c r="F184" s="189" t="s">
        <v>268</v>
      </c>
      <c r="G184" s="195"/>
      <c r="H184" s="80" t="s">
        <v>1366</v>
      </c>
      <c r="I184" s="189" t="s">
        <v>1165</v>
      </c>
      <c r="J184" s="190" t="s">
        <v>849</v>
      </c>
      <c r="K184" s="189" t="s">
        <v>1118</v>
      </c>
      <c r="L184" s="189" t="s">
        <v>1209</v>
      </c>
      <c r="M184" s="91"/>
      <c r="N184" s="37"/>
      <c r="O184" s="37"/>
      <c r="P184" s="37"/>
      <c r="Q184" s="37"/>
      <c r="R184" s="37"/>
      <c r="S184" s="37"/>
      <c r="T184" s="37"/>
      <c r="U184" s="37"/>
      <c r="V184" s="37"/>
      <c r="W184" s="37"/>
      <c r="X184" s="37"/>
      <c r="Y184" s="37"/>
      <c r="Z184" s="37"/>
      <c r="AA184" s="37"/>
      <c r="AB184" s="37"/>
      <c r="AC184" s="37"/>
      <c r="AD184" s="37"/>
      <c r="AE184" s="37"/>
      <c r="AF184" s="37"/>
      <c r="AG184" s="37"/>
      <c r="AH184" s="37"/>
    </row>
    <row r="185" spans="1:34" x14ac:dyDescent="0.2">
      <c r="A185" s="37"/>
      <c r="B185" s="189" t="s">
        <v>885</v>
      </c>
      <c r="C185" s="190"/>
      <c r="D185" s="189"/>
      <c r="E185" s="189"/>
      <c r="F185" s="189"/>
      <c r="G185" s="195"/>
      <c r="H185" s="81" t="s">
        <v>263</v>
      </c>
      <c r="I185" s="189"/>
      <c r="J185" s="190"/>
      <c r="K185" s="189"/>
      <c r="L185" s="189"/>
      <c r="M185" s="91">
        <f>+M187</f>
        <v>50000000</v>
      </c>
      <c r="N185" s="37"/>
      <c r="O185" s="37"/>
      <c r="P185" s="37"/>
      <c r="Q185" s="37"/>
      <c r="R185" s="37"/>
      <c r="S185" s="37"/>
      <c r="T185" s="37"/>
      <c r="U185" s="37"/>
      <c r="V185" s="37"/>
      <c r="W185" s="37"/>
      <c r="X185" s="37"/>
      <c r="Y185" s="37"/>
      <c r="Z185" s="37"/>
      <c r="AA185" s="37"/>
      <c r="AB185" s="37"/>
      <c r="AC185" s="37"/>
      <c r="AD185" s="37"/>
      <c r="AE185" s="37"/>
      <c r="AF185" s="37"/>
      <c r="AG185" s="37"/>
      <c r="AH185" s="37"/>
    </row>
    <row r="186" spans="1:34" ht="38.25" x14ac:dyDescent="0.2">
      <c r="A186" s="37"/>
      <c r="B186" s="189"/>
      <c r="C186" s="190"/>
      <c r="D186" s="189" t="s">
        <v>986</v>
      </c>
      <c r="E186" s="189" t="s">
        <v>1362</v>
      </c>
      <c r="F186" s="189" t="s">
        <v>1080</v>
      </c>
      <c r="G186" s="195"/>
      <c r="H186" s="80" t="s">
        <v>1363</v>
      </c>
      <c r="I186" s="189" t="s">
        <v>1317</v>
      </c>
      <c r="J186" s="190" t="s">
        <v>816</v>
      </c>
      <c r="K186" s="189" t="s">
        <v>1118</v>
      </c>
      <c r="L186" s="189" t="s">
        <v>1364</v>
      </c>
      <c r="M186" s="183"/>
      <c r="N186" s="37"/>
      <c r="O186" s="37"/>
      <c r="P186" s="37"/>
      <c r="Q186" s="37"/>
      <c r="R186" s="37"/>
      <c r="S186" s="37"/>
      <c r="T186" s="37"/>
      <c r="U186" s="37"/>
      <c r="V186" s="37"/>
      <c r="W186" s="37"/>
      <c r="X186" s="37"/>
      <c r="Y186" s="37"/>
      <c r="Z186" s="37"/>
      <c r="AA186" s="37"/>
      <c r="AB186" s="37"/>
      <c r="AC186" s="37"/>
      <c r="AD186" s="37"/>
      <c r="AE186" s="37"/>
      <c r="AF186" s="37"/>
      <c r="AG186" s="37"/>
      <c r="AH186" s="37"/>
    </row>
    <row r="187" spans="1:34" ht="38.25" x14ac:dyDescent="0.2">
      <c r="A187" s="37"/>
      <c r="B187" s="189"/>
      <c r="C187" s="190" t="s">
        <v>10</v>
      </c>
      <c r="D187" s="189"/>
      <c r="E187" s="189"/>
      <c r="F187" s="189"/>
      <c r="G187" s="195">
        <v>296131</v>
      </c>
      <c r="H187" s="80" t="s">
        <v>471</v>
      </c>
      <c r="I187" s="189"/>
      <c r="J187" s="190"/>
      <c r="K187" s="189"/>
      <c r="L187" s="189"/>
      <c r="M187" s="183">
        <f>+M188</f>
        <v>50000000</v>
      </c>
      <c r="N187" s="37"/>
      <c r="O187" s="37"/>
      <c r="P187" s="37"/>
      <c r="Q187" s="37"/>
      <c r="R187" s="37"/>
      <c r="S187" s="37"/>
      <c r="T187" s="37"/>
      <c r="U187" s="37"/>
      <c r="V187" s="37"/>
      <c r="W187" s="37"/>
      <c r="X187" s="37"/>
      <c r="Y187" s="37"/>
      <c r="Z187" s="37"/>
      <c r="AA187" s="37"/>
      <c r="AB187" s="37"/>
      <c r="AC187" s="37"/>
      <c r="AD187" s="37"/>
      <c r="AE187" s="37"/>
      <c r="AF187" s="37"/>
      <c r="AG187" s="37"/>
      <c r="AH187" s="37"/>
    </row>
    <row r="188" spans="1:34" x14ac:dyDescent="0.2">
      <c r="A188" s="37"/>
      <c r="B188" s="189"/>
      <c r="C188" s="190"/>
      <c r="D188" s="189"/>
      <c r="E188" s="189"/>
      <c r="F188" s="189"/>
      <c r="G188" s="195"/>
      <c r="H188" s="80" t="s">
        <v>835</v>
      </c>
      <c r="I188" s="189"/>
      <c r="J188" s="190"/>
      <c r="K188" s="189"/>
      <c r="L188" s="189"/>
      <c r="M188" s="183">
        <f>70000000-20000000</f>
        <v>50000000</v>
      </c>
      <c r="N188" s="37"/>
      <c r="O188" s="37"/>
      <c r="P188" s="37"/>
      <c r="Q188" s="37"/>
      <c r="R188" s="37"/>
      <c r="S188" s="37"/>
      <c r="T188" s="37"/>
      <c r="U188" s="37"/>
      <c r="V188" s="37"/>
      <c r="W188" s="37"/>
      <c r="X188" s="37"/>
      <c r="Y188" s="37"/>
      <c r="Z188" s="37"/>
      <c r="AA188" s="37"/>
      <c r="AB188" s="37"/>
      <c r="AC188" s="37"/>
      <c r="AD188" s="37"/>
      <c r="AE188" s="37"/>
      <c r="AF188" s="37"/>
      <c r="AG188" s="37"/>
      <c r="AH188" s="37"/>
    </row>
    <row r="189" spans="1:34" x14ac:dyDescent="0.2">
      <c r="A189" s="37"/>
      <c r="B189" s="189"/>
      <c r="C189" s="190"/>
      <c r="D189" s="189"/>
      <c r="E189" s="189"/>
      <c r="F189" s="189"/>
      <c r="G189" s="195"/>
      <c r="H189" s="80"/>
      <c r="I189" s="189"/>
      <c r="J189" s="190"/>
      <c r="K189" s="189"/>
      <c r="L189" s="189"/>
      <c r="M189" s="183"/>
      <c r="N189" s="37"/>
      <c r="O189" s="37"/>
      <c r="P189" s="37"/>
      <c r="Q189" s="37"/>
      <c r="R189" s="37"/>
      <c r="S189" s="37"/>
      <c r="T189" s="37"/>
      <c r="U189" s="37"/>
      <c r="V189" s="37"/>
      <c r="W189" s="37"/>
      <c r="X189" s="37"/>
      <c r="Y189" s="37"/>
      <c r="Z189" s="37"/>
      <c r="AA189" s="37"/>
      <c r="AB189" s="37"/>
      <c r="AC189" s="37"/>
      <c r="AD189" s="37"/>
      <c r="AE189" s="37"/>
      <c r="AF189" s="37"/>
      <c r="AG189" s="37"/>
      <c r="AH189" s="37"/>
    </row>
    <row r="190" spans="1:34" ht="25.5" x14ac:dyDescent="0.2">
      <c r="A190" s="37">
        <v>3</v>
      </c>
      <c r="B190" s="189" t="s">
        <v>841</v>
      </c>
      <c r="C190" s="190"/>
      <c r="D190" s="189"/>
      <c r="E190" s="189"/>
      <c r="F190" s="189"/>
      <c r="G190" s="195"/>
      <c r="H190" s="173" t="s">
        <v>165</v>
      </c>
      <c r="I190" s="189"/>
      <c r="J190" s="190"/>
      <c r="K190" s="189"/>
      <c r="L190" s="189"/>
      <c r="M190" s="91">
        <f>+M191+M198</f>
        <v>9025800000</v>
      </c>
      <c r="N190" s="37"/>
      <c r="O190" s="37"/>
      <c r="P190" s="37"/>
      <c r="Q190" s="37"/>
      <c r="R190" s="37"/>
      <c r="S190" s="37"/>
      <c r="T190" s="37"/>
      <c r="U190" s="37"/>
      <c r="V190" s="37"/>
      <c r="W190" s="37"/>
      <c r="X190" s="37"/>
      <c r="Y190" s="37"/>
      <c r="Z190" s="37"/>
      <c r="AA190" s="37"/>
      <c r="AB190" s="37"/>
      <c r="AC190" s="37"/>
      <c r="AD190" s="37"/>
      <c r="AE190" s="37"/>
      <c r="AF190" s="37"/>
      <c r="AG190" s="37"/>
      <c r="AH190" s="37"/>
    </row>
    <row r="191" spans="1:34" x14ac:dyDescent="0.2">
      <c r="A191" s="37">
        <v>4</v>
      </c>
      <c r="B191" s="189" t="s">
        <v>497</v>
      </c>
      <c r="C191" s="190"/>
      <c r="D191" s="189"/>
      <c r="E191" s="189"/>
      <c r="F191" s="189"/>
      <c r="G191" s="195"/>
      <c r="H191" s="173" t="s">
        <v>355</v>
      </c>
      <c r="I191" s="189"/>
      <c r="J191" s="190"/>
      <c r="K191" s="189"/>
      <c r="L191" s="189"/>
      <c r="M191" s="91">
        <f>+M193</f>
        <v>25800000</v>
      </c>
      <c r="N191" s="37"/>
      <c r="O191" s="37"/>
      <c r="P191" s="37"/>
      <c r="Q191" s="37"/>
      <c r="R191" s="37"/>
      <c r="S191" s="37"/>
      <c r="T191" s="37"/>
      <c r="U191" s="37"/>
      <c r="V191" s="37"/>
      <c r="W191" s="37"/>
      <c r="X191" s="37"/>
      <c r="Y191" s="37"/>
      <c r="Z191" s="37"/>
      <c r="AA191" s="37"/>
      <c r="AB191" s="37"/>
      <c r="AC191" s="37"/>
      <c r="AD191" s="37"/>
      <c r="AE191" s="37"/>
      <c r="AF191" s="37"/>
      <c r="AG191" s="37"/>
      <c r="AH191" s="37"/>
    </row>
    <row r="192" spans="1:34" ht="38.25" x14ac:dyDescent="0.2">
      <c r="A192" s="37">
        <v>5</v>
      </c>
      <c r="B192" s="189"/>
      <c r="C192" s="190"/>
      <c r="D192" s="189"/>
      <c r="E192" s="196">
        <v>77</v>
      </c>
      <c r="F192" s="189" t="s">
        <v>268</v>
      </c>
      <c r="G192" s="195"/>
      <c r="H192" s="80" t="s">
        <v>686</v>
      </c>
      <c r="I192" s="196">
        <v>100</v>
      </c>
      <c r="J192" s="190" t="s">
        <v>849</v>
      </c>
      <c r="K192" s="196">
        <v>0</v>
      </c>
      <c r="L192" s="189" t="s">
        <v>1209</v>
      </c>
      <c r="M192" s="194"/>
      <c r="N192" s="37"/>
      <c r="O192" s="37"/>
      <c r="P192" s="37"/>
      <c r="Q192" s="37"/>
      <c r="R192" s="37"/>
      <c r="S192" s="37"/>
      <c r="T192" s="37"/>
      <c r="U192" s="37"/>
      <c r="V192" s="37"/>
      <c r="W192" s="37"/>
      <c r="X192" s="37"/>
      <c r="Y192" s="37"/>
      <c r="Z192" s="37"/>
      <c r="AA192" s="37"/>
      <c r="AB192" s="37"/>
      <c r="AC192" s="37"/>
      <c r="AD192" s="37"/>
      <c r="AE192" s="37"/>
      <c r="AF192" s="37"/>
      <c r="AG192" s="37"/>
      <c r="AH192" s="37"/>
    </row>
    <row r="193" spans="1:34" x14ac:dyDescent="0.2">
      <c r="A193" s="37">
        <v>6</v>
      </c>
      <c r="B193" s="189" t="s">
        <v>857</v>
      </c>
      <c r="C193" s="190"/>
      <c r="D193" s="189"/>
      <c r="E193" s="189"/>
      <c r="F193" s="189"/>
      <c r="G193" s="195"/>
      <c r="H193" s="173" t="s">
        <v>463</v>
      </c>
      <c r="I193" s="189"/>
      <c r="J193" s="190"/>
      <c r="K193" s="189"/>
      <c r="L193" s="189"/>
      <c r="M193" s="91">
        <f>+M195</f>
        <v>25800000</v>
      </c>
      <c r="N193" s="37"/>
      <c r="O193" s="37"/>
      <c r="P193" s="37"/>
      <c r="Q193" s="37"/>
      <c r="R193" s="37"/>
      <c r="S193" s="37"/>
      <c r="T193" s="37"/>
      <c r="U193" s="37"/>
      <c r="V193" s="37"/>
      <c r="W193" s="37"/>
      <c r="X193" s="37"/>
      <c r="Y193" s="37"/>
      <c r="Z193" s="37"/>
      <c r="AA193" s="37"/>
      <c r="AB193" s="37"/>
      <c r="AC193" s="37"/>
      <c r="AD193" s="37"/>
      <c r="AE193" s="37"/>
      <c r="AF193" s="37"/>
      <c r="AG193" s="37"/>
      <c r="AH193" s="37"/>
    </row>
    <row r="194" spans="1:34" ht="51" x14ac:dyDescent="0.2">
      <c r="A194" s="37">
        <v>7</v>
      </c>
      <c r="B194" s="189"/>
      <c r="C194" s="190"/>
      <c r="D194" s="189" t="s">
        <v>573</v>
      </c>
      <c r="E194" s="196">
        <v>521</v>
      </c>
      <c r="F194" s="189" t="s">
        <v>1080</v>
      </c>
      <c r="G194" s="195"/>
      <c r="H194" s="80" t="s">
        <v>619</v>
      </c>
      <c r="I194" s="196">
        <v>5</v>
      </c>
      <c r="J194" s="190" t="s">
        <v>591</v>
      </c>
      <c r="K194" s="196">
        <v>3</v>
      </c>
      <c r="L194" s="189" t="s">
        <v>301</v>
      </c>
      <c r="M194" s="194"/>
      <c r="N194" s="37"/>
      <c r="O194" s="37"/>
      <c r="P194" s="37"/>
      <c r="Q194" s="37"/>
      <c r="R194" s="37"/>
      <c r="S194" s="37"/>
      <c r="T194" s="37"/>
      <c r="U194" s="37"/>
      <c r="V194" s="37"/>
      <c r="W194" s="37"/>
      <c r="X194" s="37"/>
      <c r="Y194" s="37"/>
      <c r="Z194" s="37"/>
      <c r="AA194" s="37"/>
      <c r="AB194" s="37"/>
      <c r="AC194" s="37"/>
      <c r="AD194" s="37"/>
      <c r="AE194" s="37"/>
      <c r="AF194" s="37"/>
      <c r="AG194" s="37"/>
      <c r="AH194" s="37"/>
    </row>
    <row r="195" spans="1:34" ht="76.5" x14ac:dyDescent="0.2">
      <c r="A195" s="37">
        <v>8</v>
      </c>
      <c r="B195" s="189"/>
      <c r="C195" s="190" t="s">
        <v>10</v>
      </c>
      <c r="D195" s="189"/>
      <c r="E195" s="189"/>
      <c r="F195" s="189"/>
      <c r="G195" s="195">
        <v>296127</v>
      </c>
      <c r="H195" s="176" t="s">
        <v>67</v>
      </c>
      <c r="I195" s="189"/>
      <c r="J195" s="190"/>
      <c r="K195" s="189"/>
      <c r="L195" s="189"/>
      <c r="M195" s="183">
        <f>+M196</f>
        <v>25800000</v>
      </c>
      <c r="N195" s="37"/>
      <c r="O195" s="37"/>
      <c r="P195" s="37"/>
      <c r="Q195" s="37"/>
      <c r="R195" s="37"/>
      <c r="S195" s="37"/>
      <c r="T195" s="37"/>
      <c r="U195" s="37"/>
      <c r="V195" s="37"/>
      <c r="W195" s="37"/>
      <c r="X195" s="37"/>
      <c r="Y195" s="37"/>
      <c r="Z195" s="37"/>
      <c r="AA195" s="37"/>
      <c r="AB195" s="37"/>
      <c r="AC195" s="37"/>
      <c r="AD195" s="37"/>
      <c r="AE195" s="37"/>
      <c r="AF195" s="37"/>
      <c r="AG195" s="37"/>
      <c r="AH195" s="37"/>
    </row>
    <row r="196" spans="1:34" x14ac:dyDescent="0.2">
      <c r="A196" s="37">
        <v>9</v>
      </c>
      <c r="B196" s="189"/>
      <c r="C196" s="190"/>
      <c r="D196" s="189"/>
      <c r="E196" s="189"/>
      <c r="F196" s="189"/>
      <c r="G196" s="195"/>
      <c r="H196" s="80" t="s">
        <v>835</v>
      </c>
      <c r="I196" s="189"/>
      <c r="J196" s="190"/>
      <c r="K196" s="189"/>
      <c r="L196" s="189"/>
      <c r="M196" s="183">
        <v>25800000</v>
      </c>
      <c r="N196" s="37"/>
      <c r="O196" s="37"/>
      <c r="P196" s="37"/>
      <c r="Q196" s="37"/>
      <c r="R196" s="37"/>
      <c r="S196" s="37"/>
      <c r="T196" s="37"/>
      <c r="U196" s="37"/>
      <c r="V196" s="37"/>
      <c r="W196" s="37"/>
      <c r="X196" s="37"/>
      <c r="Y196" s="37"/>
      <c r="Z196" s="37"/>
      <c r="AA196" s="37"/>
      <c r="AB196" s="37"/>
      <c r="AC196" s="37"/>
      <c r="AD196" s="37"/>
      <c r="AE196" s="37"/>
      <c r="AF196" s="37"/>
      <c r="AG196" s="37"/>
      <c r="AH196" s="37"/>
    </row>
    <row r="197" spans="1:34" x14ac:dyDescent="0.2">
      <c r="A197" s="37"/>
      <c r="B197" s="189"/>
      <c r="C197" s="190"/>
      <c r="D197" s="189"/>
      <c r="E197" s="189"/>
      <c r="F197" s="189"/>
      <c r="G197" s="195"/>
      <c r="H197" s="80"/>
      <c r="I197" s="189"/>
      <c r="J197" s="190"/>
      <c r="K197" s="189"/>
      <c r="L197" s="189"/>
      <c r="M197" s="183"/>
      <c r="N197" s="37"/>
      <c r="O197" s="37"/>
      <c r="P197" s="37"/>
      <c r="Q197" s="37"/>
      <c r="R197" s="37"/>
      <c r="S197" s="37"/>
      <c r="T197" s="37"/>
      <c r="U197" s="37"/>
      <c r="V197" s="37"/>
      <c r="W197" s="37"/>
      <c r="X197" s="37"/>
      <c r="Y197" s="37"/>
      <c r="Z197" s="37"/>
      <c r="AA197" s="37"/>
      <c r="AB197" s="37"/>
      <c r="AC197" s="37"/>
      <c r="AD197" s="37"/>
      <c r="AE197" s="37"/>
      <c r="AF197" s="37"/>
      <c r="AG197" s="37"/>
      <c r="AH197" s="37"/>
    </row>
    <row r="198" spans="1:34" x14ac:dyDescent="0.2">
      <c r="A198" s="37">
        <v>4</v>
      </c>
      <c r="B198" s="189" t="s">
        <v>450</v>
      </c>
      <c r="C198" s="190"/>
      <c r="D198" s="189"/>
      <c r="E198" s="189"/>
      <c r="F198" s="189"/>
      <c r="G198" s="195"/>
      <c r="H198" s="173" t="s">
        <v>256</v>
      </c>
      <c r="I198" s="189"/>
      <c r="J198" s="190"/>
      <c r="K198" s="189"/>
      <c r="L198" s="189"/>
      <c r="M198" s="91">
        <f>+M202</f>
        <v>9000000000</v>
      </c>
      <c r="N198" s="37"/>
      <c r="O198" s="37"/>
      <c r="P198" s="37"/>
      <c r="Q198" s="37"/>
      <c r="R198" s="37"/>
      <c r="S198" s="37"/>
      <c r="T198" s="37"/>
      <c r="U198" s="37"/>
      <c r="V198" s="37"/>
      <c r="W198" s="37"/>
      <c r="X198" s="37"/>
      <c r="Y198" s="37"/>
      <c r="Z198" s="37"/>
      <c r="AA198" s="37"/>
      <c r="AB198" s="37"/>
      <c r="AC198" s="37"/>
      <c r="AD198" s="37"/>
      <c r="AE198" s="37"/>
      <c r="AF198" s="37"/>
      <c r="AG198" s="37"/>
      <c r="AH198" s="37"/>
    </row>
    <row r="199" spans="1:34" ht="38.25" x14ac:dyDescent="0.2">
      <c r="A199" s="37"/>
      <c r="B199" s="189"/>
      <c r="C199" s="190"/>
      <c r="D199" s="189"/>
      <c r="E199" s="196">
        <v>75</v>
      </c>
      <c r="F199" s="189" t="s">
        <v>268</v>
      </c>
      <c r="G199" s="195"/>
      <c r="H199" s="80" t="s">
        <v>186</v>
      </c>
      <c r="I199" s="196">
        <v>3</v>
      </c>
      <c r="J199" s="190" t="s">
        <v>76</v>
      </c>
      <c r="K199" s="196">
        <v>0</v>
      </c>
      <c r="L199" s="189" t="s">
        <v>301</v>
      </c>
      <c r="M199" s="91"/>
      <c r="N199" s="37"/>
      <c r="O199" s="37"/>
      <c r="P199" s="37"/>
      <c r="Q199" s="37"/>
      <c r="R199" s="37"/>
      <c r="S199" s="37"/>
      <c r="T199" s="37"/>
      <c r="U199" s="37"/>
      <c r="V199" s="37"/>
      <c r="W199" s="37"/>
      <c r="X199" s="37"/>
      <c r="Y199" s="37"/>
      <c r="Z199" s="37"/>
      <c r="AA199" s="37"/>
      <c r="AB199" s="37"/>
      <c r="AC199" s="37"/>
      <c r="AD199" s="37"/>
      <c r="AE199" s="37"/>
      <c r="AF199" s="37"/>
      <c r="AG199" s="37"/>
      <c r="AH199" s="37"/>
    </row>
    <row r="200" spans="1:34" ht="25.5" x14ac:dyDescent="0.2">
      <c r="A200" s="37">
        <v>5</v>
      </c>
      <c r="B200" s="189"/>
      <c r="C200" s="190"/>
      <c r="D200" s="189"/>
      <c r="E200" s="196">
        <v>76</v>
      </c>
      <c r="F200" s="189" t="s">
        <v>268</v>
      </c>
      <c r="G200" s="195"/>
      <c r="H200" s="80" t="s">
        <v>309</v>
      </c>
      <c r="I200" s="196">
        <v>6</v>
      </c>
      <c r="J200" s="190" t="s">
        <v>76</v>
      </c>
      <c r="K200" s="196">
        <v>0</v>
      </c>
      <c r="L200" s="189" t="s">
        <v>422</v>
      </c>
      <c r="M200" s="194"/>
      <c r="N200" s="37"/>
      <c r="O200" s="37"/>
      <c r="P200" s="37"/>
      <c r="Q200" s="37"/>
      <c r="R200" s="37"/>
      <c r="S200" s="37"/>
      <c r="T200" s="37"/>
      <c r="U200" s="37"/>
      <c r="V200" s="37"/>
      <c r="W200" s="37"/>
      <c r="X200" s="37"/>
      <c r="Y200" s="37"/>
      <c r="Z200" s="37"/>
      <c r="AA200" s="37"/>
      <c r="AB200" s="37"/>
      <c r="AC200" s="37"/>
      <c r="AD200" s="37"/>
      <c r="AE200" s="37"/>
      <c r="AF200" s="37"/>
      <c r="AG200" s="37"/>
      <c r="AH200" s="37"/>
    </row>
    <row r="201" spans="1:34" ht="38.25" x14ac:dyDescent="0.2">
      <c r="A201" s="37">
        <v>5</v>
      </c>
      <c r="B201" s="189"/>
      <c r="C201" s="190"/>
      <c r="D201" s="189"/>
      <c r="E201" s="196">
        <v>77</v>
      </c>
      <c r="F201" s="189" t="s">
        <v>268</v>
      </c>
      <c r="G201" s="195"/>
      <c r="H201" s="80" t="s">
        <v>686</v>
      </c>
      <c r="I201" s="196">
        <v>100</v>
      </c>
      <c r="J201" s="190" t="s">
        <v>849</v>
      </c>
      <c r="K201" s="196">
        <v>0</v>
      </c>
      <c r="L201" s="189" t="s">
        <v>1209</v>
      </c>
      <c r="M201" s="194"/>
      <c r="N201" s="37"/>
      <c r="O201" s="37"/>
      <c r="P201" s="37"/>
      <c r="Q201" s="37"/>
      <c r="R201" s="37"/>
      <c r="S201" s="37"/>
      <c r="T201" s="37"/>
      <c r="U201" s="37"/>
      <c r="V201" s="37"/>
      <c r="W201" s="37"/>
      <c r="X201" s="37"/>
      <c r="Y201" s="37"/>
      <c r="Z201" s="37"/>
      <c r="AA201" s="37"/>
      <c r="AB201" s="37"/>
      <c r="AC201" s="37"/>
      <c r="AD201" s="37"/>
      <c r="AE201" s="37"/>
      <c r="AF201" s="37"/>
      <c r="AG201" s="37"/>
      <c r="AH201" s="37"/>
    </row>
    <row r="202" spans="1:34" x14ac:dyDescent="0.2">
      <c r="A202" s="37">
        <v>6</v>
      </c>
      <c r="B202" s="189" t="s">
        <v>857</v>
      </c>
      <c r="C202" s="190"/>
      <c r="D202" s="189"/>
      <c r="E202" s="189"/>
      <c r="F202" s="189"/>
      <c r="G202" s="195"/>
      <c r="H202" s="173" t="s">
        <v>312</v>
      </c>
      <c r="I202" s="189"/>
      <c r="J202" s="190"/>
      <c r="K202" s="189"/>
      <c r="L202" s="189"/>
      <c r="M202" s="91">
        <f>+M204+M206</f>
        <v>9000000000</v>
      </c>
      <c r="N202" s="37"/>
      <c r="O202" s="37"/>
      <c r="P202" s="37"/>
      <c r="Q202" s="37"/>
      <c r="R202" s="37"/>
      <c r="S202" s="37"/>
      <c r="T202" s="37"/>
      <c r="U202" s="37"/>
      <c r="V202" s="37"/>
      <c r="W202" s="37"/>
      <c r="X202" s="37"/>
      <c r="Y202" s="37"/>
      <c r="Z202" s="37"/>
      <c r="AA202" s="37"/>
      <c r="AB202" s="37"/>
      <c r="AC202" s="37"/>
      <c r="AD202" s="37"/>
      <c r="AE202" s="37"/>
      <c r="AF202" s="37"/>
      <c r="AG202" s="37"/>
      <c r="AH202" s="37"/>
    </row>
    <row r="203" spans="1:34" ht="51" x14ac:dyDescent="0.2">
      <c r="A203" s="37">
        <v>7</v>
      </c>
      <c r="B203" s="189"/>
      <c r="C203" s="190"/>
      <c r="D203" s="189" t="s">
        <v>485</v>
      </c>
      <c r="E203" s="196">
        <v>575</v>
      </c>
      <c r="F203" s="189" t="s">
        <v>1080</v>
      </c>
      <c r="G203" s="195"/>
      <c r="H203" s="80" t="s">
        <v>1059</v>
      </c>
      <c r="I203" s="196">
        <v>52000</v>
      </c>
      <c r="J203" s="190" t="s">
        <v>127</v>
      </c>
      <c r="K203" s="196">
        <v>15688</v>
      </c>
      <c r="L203" s="196">
        <v>13000</v>
      </c>
      <c r="M203" s="194"/>
      <c r="N203" s="37"/>
      <c r="O203" s="37"/>
      <c r="P203" s="37"/>
      <c r="Q203" s="37"/>
      <c r="R203" s="37"/>
      <c r="S203" s="37"/>
      <c r="T203" s="37"/>
      <c r="U203" s="37"/>
      <c r="V203" s="37"/>
      <c r="W203" s="37"/>
      <c r="X203" s="37"/>
      <c r="Y203" s="37"/>
      <c r="Z203" s="37"/>
      <c r="AA203" s="37"/>
      <c r="AB203" s="37"/>
      <c r="AC203" s="37"/>
      <c r="AD203" s="37"/>
      <c r="AE203" s="37"/>
      <c r="AF203" s="37"/>
      <c r="AG203" s="37"/>
      <c r="AH203" s="37"/>
    </row>
    <row r="204" spans="1:34" ht="55.5" customHeight="1" x14ac:dyDescent="0.2">
      <c r="A204" s="37">
        <v>8</v>
      </c>
      <c r="B204" s="189"/>
      <c r="C204" s="190" t="s">
        <v>10</v>
      </c>
      <c r="D204" s="189"/>
      <c r="E204" s="189"/>
      <c r="F204" s="189"/>
      <c r="G204" s="195">
        <v>296130</v>
      </c>
      <c r="H204" s="80" t="s">
        <v>519</v>
      </c>
      <c r="I204" s="189"/>
      <c r="J204" s="190"/>
      <c r="K204" s="189"/>
      <c r="L204" s="189"/>
      <c r="M204" s="183">
        <f>+M205</f>
        <v>4452330446</v>
      </c>
      <c r="N204" s="37"/>
      <c r="O204" s="37"/>
      <c r="P204" s="37"/>
      <c r="Q204" s="37"/>
      <c r="R204" s="37"/>
      <c r="S204" s="37"/>
      <c r="T204" s="37"/>
      <c r="U204" s="37"/>
      <c r="V204" s="37"/>
      <c r="W204" s="37"/>
      <c r="X204" s="37"/>
      <c r="Y204" s="37"/>
      <c r="Z204" s="37"/>
      <c r="AA204" s="37"/>
      <c r="AB204" s="37"/>
      <c r="AC204" s="37"/>
      <c r="AD204" s="37"/>
      <c r="AE204" s="37"/>
      <c r="AF204" s="37"/>
      <c r="AG204" s="37"/>
      <c r="AH204" s="37"/>
    </row>
    <row r="205" spans="1:34" x14ac:dyDescent="0.2">
      <c r="A205" s="37">
        <v>9</v>
      </c>
      <c r="B205" s="189"/>
      <c r="C205" s="190"/>
      <c r="D205" s="189"/>
      <c r="E205" s="189"/>
      <c r="F205" s="189"/>
      <c r="G205" s="195"/>
      <c r="H205" s="80" t="s">
        <v>835</v>
      </c>
      <c r="I205" s="189"/>
      <c r="J205" s="190"/>
      <c r="K205" s="189"/>
      <c r="L205" s="189"/>
      <c r="M205" s="183">
        <f>9000000000-4547669554</f>
        <v>4452330446</v>
      </c>
      <c r="N205" s="37"/>
      <c r="O205" s="37"/>
      <c r="P205" s="37"/>
      <c r="Q205" s="37"/>
      <c r="R205" s="37"/>
      <c r="S205" s="37"/>
      <c r="T205" s="37"/>
      <c r="U205" s="37"/>
      <c r="V205" s="37"/>
      <c r="W205" s="37"/>
      <c r="X205" s="37"/>
      <c r="Y205" s="37"/>
      <c r="Z205" s="37"/>
      <c r="AA205" s="37"/>
      <c r="AB205" s="37"/>
      <c r="AC205" s="37"/>
      <c r="AD205" s="37"/>
      <c r="AE205" s="37"/>
      <c r="AF205" s="37"/>
      <c r="AG205" s="37"/>
      <c r="AH205" s="37"/>
    </row>
    <row r="206" spans="1:34" ht="63.75" x14ac:dyDescent="0.2">
      <c r="A206" s="37"/>
      <c r="B206" s="189"/>
      <c r="C206" s="190" t="s">
        <v>1530</v>
      </c>
      <c r="D206" s="189"/>
      <c r="E206" s="189"/>
      <c r="F206" s="189"/>
      <c r="G206" s="195">
        <v>296130</v>
      </c>
      <c r="H206" s="80" t="s">
        <v>1539</v>
      </c>
      <c r="I206" s="189"/>
      <c r="J206" s="190"/>
      <c r="K206" s="189"/>
      <c r="L206" s="189"/>
      <c r="M206" s="183">
        <f>+M207</f>
        <v>4547669554</v>
      </c>
      <c r="N206" s="37"/>
      <c r="O206" s="37"/>
      <c r="P206" s="37"/>
      <c r="Q206" s="37"/>
      <c r="R206" s="37"/>
      <c r="S206" s="37"/>
      <c r="T206" s="37"/>
      <c r="U206" s="37"/>
      <c r="V206" s="37"/>
      <c r="W206" s="37"/>
      <c r="X206" s="37"/>
      <c r="Y206" s="37"/>
      <c r="Z206" s="37"/>
      <c r="AA206" s="37"/>
      <c r="AB206" s="37"/>
      <c r="AC206" s="37"/>
      <c r="AD206" s="37"/>
      <c r="AE206" s="37"/>
      <c r="AF206" s="37"/>
      <c r="AG206" s="37"/>
      <c r="AH206" s="37"/>
    </row>
    <row r="207" spans="1:34" x14ac:dyDescent="0.2">
      <c r="A207" s="37"/>
      <c r="B207" s="189"/>
      <c r="C207" s="190"/>
      <c r="D207" s="189"/>
      <c r="E207" s="189"/>
      <c r="F207" s="189"/>
      <c r="G207" s="195"/>
      <c r="H207" s="80" t="s">
        <v>835</v>
      </c>
      <c r="I207" s="189"/>
      <c r="J207" s="190"/>
      <c r="K207" s="189"/>
      <c r="L207" s="189"/>
      <c r="M207" s="183">
        <v>4547669554</v>
      </c>
      <c r="N207" s="37"/>
      <c r="O207" s="37"/>
      <c r="P207" s="37"/>
      <c r="Q207" s="37"/>
      <c r="R207" s="37"/>
      <c r="S207" s="37"/>
      <c r="T207" s="37"/>
      <c r="U207" s="37"/>
      <c r="V207" s="37"/>
      <c r="W207" s="37"/>
      <c r="X207" s="37"/>
      <c r="Y207" s="37"/>
      <c r="Z207" s="37"/>
      <c r="AA207" s="37"/>
      <c r="AB207" s="37"/>
      <c r="AC207" s="37"/>
      <c r="AD207" s="37"/>
      <c r="AE207" s="37"/>
      <c r="AF207" s="37"/>
      <c r="AG207" s="37"/>
      <c r="AH207" s="37"/>
    </row>
    <row r="208" spans="1:34" x14ac:dyDescent="0.2">
      <c r="A208" s="37"/>
      <c r="B208" s="189"/>
      <c r="C208" s="190"/>
      <c r="D208" s="189"/>
      <c r="E208" s="189"/>
      <c r="F208" s="189"/>
      <c r="G208" s="195"/>
      <c r="H208" s="80"/>
      <c r="I208" s="189"/>
      <c r="J208" s="190"/>
      <c r="K208" s="189"/>
      <c r="L208" s="189"/>
      <c r="M208" s="183"/>
      <c r="N208" s="37"/>
      <c r="O208" s="37"/>
      <c r="P208" s="37"/>
      <c r="Q208" s="37"/>
      <c r="R208" s="37"/>
      <c r="S208" s="37"/>
      <c r="T208" s="37"/>
      <c r="U208" s="37"/>
      <c r="V208" s="37"/>
      <c r="W208" s="37"/>
      <c r="X208" s="37"/>
      <c r="Y208" s="37"/>
      <c r="Z208" s="37"/>
      <c r="AA208" s="37"/>
      <c r="AB208" s="37"/>
      <c r="AC208" s="37"/>
      <c r="AD208" s="37"/>
      <c r="AE208" s="37"/>
      <c r="AF208" s="37"/>
      <c r="AG208" s="37"/>
      <c r="AH208" s="37"/>
    </row>
    <row r="209" spans="1:34" ht="15" x14ac:dyDescent="0.25">
      <c r="A209" s="37">
        <v>10</v>
      </c>
      <c r="B209" s="189"/>
      <c r="C209" s="190"/>
      <c r="D209" s="189"/>
      <c r="E209" s="189"/>
      <c r="F209" s="189"/>
      <c r="G209" s="195"/>
      <c r="H209" s="178" t="s">
        <v>880</v>
      </c>
      <c r="I209" s="200"/>
      <c r="J209" s="201"/>
      <c r="K209" s="200"/>
      <c r="L209" s="200"/>
      <c r="M209" s="202">
        <f>+M10+M190</f>
        <v>589336804000</v>
      </c>
      <c r="N209" s="37"/>
      <c r="O209" s="37"/>
      <c r="P209" s="37"/>
      <c r="Q209" s="37"/>
      <c r="R209" s="37"/>
      <c r="S209" s="37"/>
      <c r="T209" s="37"/>
      <c r="U209" s="37"/>
      <c r="V209" s="37"/>
      <c r="W209" s="37"/>
      <c r="X209" s="37"/>
      <c r="Y209" s="37"/>
      <c r="Z209" s="37"/>
      <c r="AA209" s="37"/>
      <c r="AB209" s="37"/>
      <c r="AC209" s="37"/>
      <c r="AD209" s="37"/>
      <c r="AE209" s="37"/>
      <c r="AF209" s="37"/>
      <c r="AG209" s="37"/>
      <c r="AH209" s="37"/>
    </row>
    <row r="210" spans="1:34" x14ac:dyDescent="0.2">
      <c r="A210" s="37"/>
      <c r="B210" s="189"/>
      <c r="C210" s="190"/>
      <c r="D210" s="189"/>
      <c r="E210" s="189"/>
      <c r="F210" s="189"/>
      <c r="G210" s="195"/>
      <c r="H210" s="81"/>
      <c r="I210" s="189"/>
      <c r="J210" s="190"/>
      <c r="K210" s="189"/>
      <c r="L210" s="189"/>
      <c r="M210" s="91"/>
      <c r="N210" s="37"/>
      <c r="O210" s="37"/>
      <c r="P210" s="37"/>
      <c r="Q210" s="37"/>
      <c r="R210" s="37"/>
      <c r="S210" s="37"/>
      <c r="T210" s="37"/>
      <c r="U210" s="37"/>
      <c r="V210" s="37"/>
      <c r="W210" s="37"/>
      <c r="X210" s="37"/>
      <c r="Y210" s="37"/>
      <c r="Z210" s="37"/>
      <c r="AA210" s="37"/>
      <c r="AB210" s="37"/>
      <c r="AC210" s="37"/>
      <c r="AD210" s="37"/>
      <c r="AE210" s="37"/>
      <c r="AF210" s="37"/>
      <c r="AG210" s="37"/>
      <c r="AH210" s="37"/>
    </row>
    <row r="211" spans="1:34" x14ac:dyDescent="0.2">
      <c r="A211" s="37"/>
      <c r="B211" s="189"/>
      <c r="C211" s="190"/>
      <c r="D211" s="189"/>
      <c r="E211" s="189"/>
      <c r="F211" s="189"/>
      <c r="G211" s="195"/>
      <c r="H211" s="81"/>
      <c r="I211" s="189"/>
      <c r="J211" s="190"/>
      <c r="K211" s="189"/>
      <c r="L211" s="189"/>
      <c r="M211" s="91"/>
      <c r="N211" s="37"/>
      <c r="O211" s="37"/>
      <c r="P211" s="37"/>
      <c r="Q211" s="37"/>
      <c r="R211" s="37"/>
      <c r="S211" s="37"/>
      <c r="T211" s="37"/>
      <c r="U211" s="37"/>
      <c r="V211" s="37"/>
      <c r="W211" s="37"/>
      <c r="X211" s="37"/>
      <c r="Y211" s="37"/>
      <c r="Z211" s="37"/>
      <c r="AA211" s="37"/>
      <c r="AB211" s="37"/>
      <c r="AC211" s="37"/>
      <c r="AD211" s="37"/>
      <c r="AE211" s="37"/>
      <c r="AF211" s="37"/>
      <c r="AG211" s="37"/>
      <c r="AH211" s="37"/>
    </row>
  </sheetData>
  <mergeCells count="1">
    <mergeCell ref="B2:M2"/>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119"/>
  <sheetViews>
    <sheetView topLeftCell="F77" zoomScale="80" zoomScaleNormal="80" workbookViewId="0">
      <selection activeCell="H88" sqref="B88:P118"/>
    </sheetView>
  </sheetViews>
  <sheetFormatPr baseColWidth="10" defaultColWidth="9.140625" defaultRowHeight="12.75" x14ac:dyDescent="0.2"/>
  <cols>
    <col min="1" max="1" width="9.7109375" style="32" hidden="1" customWidth="1"/>
    <col min="2" max="2" width="9.42578125" style="69" customWidth="1"/>
    <col min="3" max="3" width="18" style="70" customWidth="1"/>
    <col min="4" max="4" width="8.28515625" style="69" customWidth="1"/>
    <col min="5" max="5" width="9.140625" style="69"/>
    <col min="6" max="6" width="12.85546875" style="69" customWidth="1"/>
    <col min="7" max="7" width="10" style="69" customWidth="1"/>
    <col min="8" max="8" width="69.140625" style="36" customWidth="1"/>
    <col min="9" max="9" width="11.7109375" style="69" customWidth="1"/>
    <col min="10" max="10" width="16.28515625" style="70" customWidth="1"/>
    <col min="11" max="11" width="16" style="69" customWidth="1"/>
    <col min="12" max="12" width="11" style="69" customWidth="1"/>
    <col min="13" max="13" width="15.7109375" style="32" customWidth="1"/>
    <col min="14" max="16384" width="9.140625" style="32"/>
  </cols>
  <sheetData>
    <row r="2" spans="1:105" ht="24" customHeight="1" x14ac:dyDescent="0.2">
      <c r="B2" s="187" t="s">
        <v>1103</v>
      </c>
      <c r="C2" s="187"/>
      <c r="D2" s="187"/>
      <c r="E2" s="187"/>
      <c r="F2" s="187"/>
      <c r="G2" s="187"/>
      <c r="H2" s="187"/>
      <c r="I2" s="187"/>
      <c r="J2" s="187"/>
      <c r="K2" s="187"/>
      <c r="L2" s="187"/>
      <c r="M2" s="187"/>
    </row>
    <row r="4" spans="1:105" s="33" customFormat="1" ht="47.25" customHeight="1" x14ac:dyDescent="0.2">
      <c r="A4" s="33" t="s">
        <v>641</v>
      </c>
      <c r="B4" s="71" t="s">
        <v>1100</v>
      </c>
      <c r="C4" s="71" t="s">
        <v>1092</v>
      </c>
      <c r="D4" s="35" t="s">
        <v>1091</v>
      </c>
      <c r="E4" s="71" t="s">
        <v>1097</v>
      </c>
      <c r="F4" s="35" t="s">
        <v>1098</v>
      </c>
      <c r="G4" s="35" t="s">
        <v>1093</v>
      </c>
      <c r="H4" s="71" t="s">
        <v>409</v>
      </c>
      <c r="I4" s="71" t="s">
        <v>1094</v>
      </c>
      <c r="J4" s="71" t="s">
        <v>1095</v>
      </c>
      <c r="K4" s="71" t="s">
        <v>1104</v>
      </c>
      <c r="L4" s="71" t="s">
        <v>1096</v>
      </c>
      <c r="M4" s="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row>
    <row r="6" spans="1:105" ht="15.75" x14ac:dyDescent="0.2">
      <c r="A6" s="37">
        <v>0</v>
      </c>
      <c r="B6" s="52"/>
      <c r="C6" s="53"/>
      <c r="D6" s="52"/>
      <c r="E6" s="52"/>
      <c r="F6" s="52"/>
      <c r="G6" s="61"/>
      <c r="H6" s="51" t="s">
        <v>492</v>
      </c>
      <c r="I6" s="52"/>
      <c r="J6" s="53"/>
      <c r="K6" s="52"/>
      <c r="L6" s="52"/>
      <c r="M6" s="54"/>
    </row>
    <row r="7" spans="1:105" ht="15.75" x14ac:dyDescent="0.2">
      <c r="A7" s="37">
        <v>1</v>
      </c>
      <c r="B7" s="52"/>
      <c r="C7" s="53"/>
      <c r="D7" s="52"/>
      <c r="E7" s="52"/>
      <c r="F7" s="52"/>
      <c r="G7" s="61"/>
      <c r="H7" s="51" t="s">
        <v>404</v>
      </c>
      <c r="I7" s="52"/>
      <c r="J7" s="53"/>
      <c r="K7" s="52"/>
      <c r="L7" s="52"/>
      <c r="M7" s="54"/>
    </row>
    <row r="8" spans="1:105" ht="15.75" x14ac:dyDescent="0.2">
      <c r="A8" s="37">
        <v>2</v>
      </c>
      <c r="B8" s="52"/>
      <c r="C8" s="53"/>
      <c r="D8" s="52"/>
      <c r="E8" s="52"/>
      <c r="F8" s="52"/>
      <c r="G8" s="61"/>
      <c r="H8" s="51"/>
      <c r="I8" s="52"/>
      <c r="J8" s="53"/>
      <c r="K8" s="52"/>
      <c r="L8" s="52"/>
      <c r="M8" s="54"/>
    </row>
    <row r="9" spans="1:105" x14ac:dyDescent="0.2">
      <c r="A9" s="37">
        <v>3</v>
      </c>
      <c r="B9" s="52" t="s">
        <v>1025</v>
      </c>
      <c r="C9" s="53"/>
      <c r="D9" s="52"/>
      <c r="E9" s="52"/>
      <c r="F9" s="52"/>
      <c r="G9" s="61"/>
      <c r="H9" s="56" t="s">
        <v>912</v>
      </c>
      <c r="I9" s="52"/>
      <c r="J9" s="53"/>
      <c r="K9" s="52"/>
      <c r="L9" s="52"/>
      <c r="M9" s="38">
        <f>+M10</f>
        <v>3539670500</v>
      </c>
    </row>
    <row r="10" spans="1:105" x14ac:dyDescent="0.2">
      <c r="A10" s="37">
        <v>4</v>
      </c>
      <c r="B10" s="52" t="s">
        <v>857</v>
      </c>
      <c r="C10" s="53"/>
      <c r="D10" s="52"/>
      <c r="E10" s="52"/>
      <c r="F10" s="52"/>
      <c r="G10" s="61"/>
      <c r="H10" s="56" t="s">
        <v>484</v>
      </c>
      <c r="I10" s="52"/>
      <c r="J10" s="53"/>
      <c r="K10" s="52"/>
      <c r="L10" s="52"/>
      <c r="M10" s="38">
        <f>+M12+M19</f>
        <v>3539670500</v>
      </c>
    </row>
    <row r="11" spans="1:105" ht="51" x14ac:dyDescent="0.2">
      <c r="A11" s="37">
        <v>5</v>
      </c>
      <c r="B11" s="52"/>
      <c r="C11" s="53"/>
      <c r="D11" s="52"/>
      <c r="E11" s="55">
        <v>327</v>
      </c>
      <c r="F11" s="52" t="s">
        <v>268</v>
      </c>
      <c r="G11" s="61"/>
      <c r="H11" s="42" t="s">
        <v>829</v>
      </c>
      <c r="I11" s="55">
        <v>4</v>
      </c>
      <c r="J11" s="53" t="s">
        <v>1002</v>
      </c>
      <c r="K11" s="55"/>
      <c r="L11" s="52" t="s">
        <v>301</v>
      </c>
      <c r="M11" s="54"/>
    </row>
    <row r="12" spans="1:105" x14ac:dyDescent="0.2">
      <c r="A12" s="37">
        <v>6</v>
      </c>
      <c r="B12" s="52" t="s">
        <v>857</v>
      </c>
      <c r="C12" s="53"/>
      <c r="D12" s="52"/>
      <c r="E12" s="52"/>
      <c r="F12" s="52"/>
      <c r="G12" s="61"/>
      <c r="H12" s="56" t="s">
        <v>815</v>
      </c>
      <c r="I12" s="52"/>
      <c r="J12" s="53"/>
      <c r="K12" s="52"/>
      <c r="L12" s="52"/>
      <c r="M12" s="38">
        <f>+M15+M17</f>
        <v>2859670500</v>
      </c>
    </row>
    <row r="13" spans="1:105" ht="25.5" x14ac:dyDescent="0.2">
      <c r="A13" s="37">
        <v>7</v>
      </c>
      <c r="B13" s="52"/>
      <c r="C13" s="53"/>
      <c r="D13" s="52" t="s">
        <v>884</v>
      </c>
      <c r="E13" s="55">
        <v>328</v>
      </c>
      <c r="F13" s="52" t="s">
        <v>1080</v>
      </c>
      <c r="G13" s="61"/>
      <c r="H13" s="42" t="s">
        <v>796</v>
      </c>
      <c r="I13" s="55">
        <v>25</v>
      </c>
      <c r="J13" s="53" t="s">
        <v>518</v>
      </c>
      <c r="K13" s="55">
        <v>7</v>
      </c>
      <c r="L13" s="52" t="s">
        <v>114</v>
      </c>
      <c r="M13" s="54"/>
    </row>
    <row r="14" spans="1:105" ht="25.5" x14ac:dyDescent="0.2">
      <c r="A14" s="37"/>
      <c r="B14" s="52"/>
      <c r="C14" s="53"/>
      <c r="D14" s="52" t="s">
        <v>884</v>
      </c>
      <c r="E14" s="55">
        <v>331</v>
      </c>
      <c r="F14" s="52" t="s">
        <v>1080</v>
      </c>
      <c r="G14" s="61"/>
      <c r="H14" s="42" t="s">
        <v>1458</v>
      </c>
      <c r="I14" s="55">
        <v>12</v>
      </c>
      <c r="J14" s="53" t="s">
        <v>1003</v>
      </c>
      <c r="K14" s="55">
        <v>0</v>
      </c>
      <c r="L14" s="52" t="s">
        <v>841</v>
      </c>
      <c r="M14" s="54"/>
    </row>
    <row r="15" spans="1:105" ht="51" x14ac:dyDescent="0.2">
      <c r="A15" s="37">
        <v>8</v>
      </c>
      <c r="B15" s="52"/>
      <c r="C15" s="53" t="s">
        <v>1159</v>
      </c>
      <c r="D15" s="52"/>
      <c r="E15" s="52"/>
      <c r="F15" s="52"/>
      <c r="G15" s="61">
        <v>295957</v>
      </c>
      <c r="H15" s="42" t="s">
        <v>1171</v>
      </c>
      <c r="I15" s="52"/>
      <c r="J15" s="53"/>
      <c r="K15" s="52"/>
      <c r="L15" s="52"/>
      <c r="M15" s="37">
        <f>+M16</f>
        <v>79670500</v>
      </c>
    </row>
    <row r="16" spans="1:105" x14ac:dyDescent="0.2">
      <c r="A16" s="37">
        <v>9</v>
      </c>
      <c r="B16" s="52"/>
      <c r="C16" s="53"/>
      <c r="D16" s="52"/>
      <c r="E16" s="52"/>
      <c r="F16" s="52"/>
      <c r="G16" s="61"/>
      <c r="H16" s="42" t="s">
        <v>835</v>
      </c>
      <c r="I16" s="52"/>
      <c r="J16" s="53"/>
      <c r="K16" s="52"/>
      <c r="L16" s="52"/>
      <c r="M16" s="37">
        <v>79670500</v>
      </c>
    </row>
    <row r="17" spans="1:13" ht="38.25" x14ac:dyDescent="0.2">
      <c r="A17" s="37"/>
      <c r="B17" s="52"/>
      <c r="C17" s="53" t="s">
        <v>10</v>
      </c>
      <c r="D17" s="52"/>
      <c r="E17" s="52"/>
      <c r="F17" s="52"/>
      <c r="G17" s="61">
        <v>295957</v>
      </c>
      <c r="H17" s="42" t="s">
        <v>1459</v>
      </c>
      <c r="I17" s="52"/>
      <c r="J17" s="53"/>
      <c r="K17" s="52"/>
      <c r="L17" s="52"/>
      <c r="M17" s="37">
        <f>+M18</f>
        <v>2780000000</v>
      </c>
    </row>
    <row r="18" spans="1:13" x14ac:dyDescent="0.2">
      <c r="A18" s="37"/>
      <c r="B18" s="52"/>
      <c r="C18" s="53"/>
      <c r="D18" s="52"/>
      <c r="E18" s="52"/>
      <c r="F18" s="52"/>
      <c r="G18" s="61"/>
      <c r="H18" s="42" t="s">
        <v>835</v>
      </c>
      <c r="I18" s="52"/>
      <c r="J18" s="53"/>
      <c r="K18" s="52"/>
      <c r="L18" s="52"/>
      <c r="M18" s="37">
        <f>480000000+1300000000+ 1000000000</f>
        <v>2780000000</v>
      </c>
    </row>
    <row r="19" spans="1:13" ht="25.5" x14ac:dyDescent="0.2">
      <c r="A19" s="37">
        <v>6</v>
      </c>
      <c r="B19" s="52" t="s">
        <v>497</v>
      </c>
      <c r="C19" s="53"/>
      <c r="D19" s="52"/>
      <c r="E19" s="52"/>
      <c r="F19" s="52"/>
      <c r="G19" s="61"/>
      <c r="H19" s="56" t="s">
        <v>693</v>
      </c>
      <c r="I19" s="52"/>
      <c r="J19" s="53"/>
      <c r="K19" s="52"/>
      <c r="L19" s="52"/>
      <c r="M19" s="38">
        <f>+M21</f>
        <v>680000000</v>
      </c>
    </row>
    <row r="20" spans="1:13" ht="38.25" x14ac:dyDescent="0.2">
      <c r="A20" s="37">
        <v>7</v>
      </c>
      <c r="B20" s="52"/>
      <c r="C20" s="53"/>
      <c r="D20" s="52" t="s">
        <v>884</v>
      </c>
      <c r="E20" s="55">
        <v>332</v>
      </c>
      <c r="F20" s="52" t="s">
        <v>1080</v>
      </c>
      <c r="G20" s="61"/>
      <c r="H20" s="42" t="s">
        <v>421</v>
      </c>
      <c r="I20" s="55">
        <v>1</v>
      </c>
      <c r="J20" s="53" t="s">
        <v>262</v>
      </c>
      <c r="K20" s="55">
        <v>0</v>
      </c>
      <c r="L20" s="52" t="s">
        <v>301</v>
      </c>
      <c r="M20" s="54"/>
    </row>
    <row r="21" spans="1:13" ht="51" x14ac:dyDescent="0.2">
      <c r="A21" s="37">
        <v>8</v>
      </c>
      <c r="B21" s="52"/>
      <c r="C21" s="53" t="s">
        <v>1159</v>
      </c>
      <c r="D21" s="52"/>
      <c r="E21" s="52"/>
      <c r="F21" s="52"/>
      <c r="G21" s="61">
        <v>295957</v>
      </c>
      <c r="H21" s="42" t="s">
        <v>1171</v>
      </c>
      <c r="I21" s="52"/>
      <c r="J21" s="53"/>
      <c r="K21" s="52"/>
      <c r="L21" s="52"/>
      <c r="M21" s="37">
        <f>+M22</f>
        <v>680000000</v>
      </c>
    </row>
    <row r="22" spans="1:13" x14ac:dyDescent="0.2">
      <c r="A22" s="37">
        <v>9</v>
      </c>
      <c r="B22" s="52"/>
      <c r="C22" s="53"/>
      <c r="D22" s="52"/>
      <c r="E22" s="52"/>
      <c r="F22" s="52"/>
      <c r="G22" s="61"/>
      <c r="H22" s="42" t="s">
        <v>835</v>
      </c>
      <c r="I22" s="52"/>
      <c r="J22" s="53"/>
      <c r="K22" s="52"/>
      <c r="L22" s="52"/>
      <c r="M22" s="37">
        <v>680000000</v>
      </c>
    </row>
    <row r="23" spans="1:13" x14ac:dyDescent="0.2">
      <c r="A23" s="37"/>
      <c r="B23" s="52"/>
      <c r="C23" s="53"/>
      <c r="D23" s="52"/>
      <c r="E23" s="52"/>
      <c r="F23" s="52"/>
      <c r="G23" s="61"/>
      <c r="H23" s="42"/>
      <c r="I23" s="52"/>
      <c r="J23" s="53"/>
      <c r="K23" s="52"/>
      <c r="L23" s="52"/>
      <c r="M23" s="37"/>
    </row>
    <row r="24" spans="1:13" ht="25.5" x14ac:dyDescent="0.2">
      <c r="A24" s="37">
        <v>3</v>
      </c>
      <c r="B24" s="189" t="s">
        <v>841</v>
      </c>
      <c r="C24" s="190"/>
      <c r="D24" s="189"/>
      <c r="E24" s="189"/>
      <c r="F24" s="189"/>
      <c r="G24" s="195"/>
      <c r="H24" s="173" t="s">
        <v>165</v>
      </c>
      <c r="I24" s="189"/>
      <c r="J24" s="190"/>
      <c r="K24" s="189"/>
      <c r="L24" s="189"/>
      <c r="M24" s="91">
        <f>+M32+M50+M56+M69+M25</f>
        <v>3748696300</v>
      </c>
    </row>
    <row r="25" spans="1:13" x14ac:dyDescent="0.2">
      <c r="A25" s="37"/>
      <c r="B25" s="189" t="s">
        <v>497</v>
      </c>
      <c r="C25" s="190"/>
      <c r="D25" s="189"/>
      <c r="E25" s="189"/>
      <c r="F25" s="189"/>
      <c r="G25" s="195"/>
      <c r="H25" s="173" t="s">
        <v>1460</v>
      </c>
      <c r="I25" s="189"/>
      <c r="J25" s="190"/>
      <c r="K25" s="189"/>
      <c r="L25" s="189"/>
      <c r="M25" s="91">
        <f>+M27</f>
        <v>200000000</v>
      </c>
    </row>
    <row r="26" spans="1:13" x14ac:dyDescent="0.2">
      <c r="A26" s="37"/>
      <c r="B26" s="189"/>
      <c r="C26" s="190"/>
      <c r="D26" s="189"/>
      <c r="E26" s="189" t="s">
        <v>1463</v>
      </c>
      <c r="F26" s="189" t="s">
        <v>268</v>
      </c>
      <c r="G26" s="195"/>
      <c r="H26" s="177" t="s">
        <v>1464</v>
      </c>
      <c r="I26" s="189"/>
      <c r="J26" s="190"/>
      <c r="K26" s="189"/>
      <c r="L26" s="189"/>
      <c r="M26" s="91"/>
    </row>
    <row r="27" spans="1:13" ht="25.5" x14ac:dyDescent="0.2">
      <c r="A27" s="37"/>
      <c r="B27" s="189" t="s">
        <v>450</v>
      </c>
      <c r="C27" s="190"/>
      <c r="D27" s="189"/>
      <c r="E27" s="189"/>
      <c r="F27" s="189"/>
      <c r="G27" s="195"/>
      <c r="H27" s="173" t="s">
        <v>1461</v>
      </c>
      <c r="I27" s="189"/>
      <c r="J27" s="190"/>
      <c r="K27" s="189"/>
      <c r="L27" s="189"/>
      <c r="M27" s="91">
        <f>+M29</f>
        <v>200000000</v>
      </c>
    </row>
    <row r="28" spans="1:13" ht="25.5" x14ac:dyDescent="0.2">
      <c r="A28" s="37"/>
      <c r="B28" s="189"/>
      <c r="C28" s="190"/>
      <c r="D28" s="189"/>
      <c r="E28" s="189" t="s">
        <v>1462</v>
      </c>
      <c r="F28" s="189" t="s">
        <v>1080</v>
      </c>
      <c r="G28" s="195"/>
      <c r="H28" s="177" t="s">
        <v>1465</v>
      </c>
      <c r="I28" s="189" t="s">
        <v>841</v>
      </c>
      <c r="J28" s="190" t="s">
        <v>130</v>
      </c>
      <c r="K28" s="189" t="s">
        <v>301</v>
      </c>
      <c r="L28" s="189" t="s">
        <v>301</v>
      </c>
      <c r="M28" s="91"/>
    </row>
    <row r="29" spans="1:13" ht="25.5" x14ac:dyDescent="0.2">
      <c r="A29" s="37"/>
      <c r="B29" s="189"/>
      <c r="C29" s="190"/>
      <c r="D29" s="189"/>
      <c r="E29" s="189"/>
      <c r="F29" s="189"/>
      <c r="G29" s="195">
        <v>296053</v>
      </c>
      <c r="H29" s="80" t="s">
        <v>350</v>
      </c>
      <c r="I29" s="189"/>
      <c r="J29" s="190"/>
      <c r="K29" s="189"/>
      <c r="L29" s="189"/>
      <c r="M29" s="183">
        <f>+M30</f>
        <v>200000000</v>
      </c>
    </row>
    <row r="30" spans="1:13" x14ac:dyDescent="0.2">
      <c r="A30" s="37"/>
      <c r="B30" s="189"/>
      <c r="C30" s="190"/>
      <c r="D30" s="189"/>
      <c r="E30" s="189"/>
      <c r="F30" s="189"/>
      <c r="G30" s="195"/>
      <c r="H30" s="80" t="s">
        <v>835</v>
      </c>
      <c r="I30" s="189"/>
      <c r="J30" s="190"/>
      <c r="K30" s="189"/>
      <c r="L30" s="189"/>
      <c r="M30" s="183">
        <v>200000000</v>
      </c>
    </row>
    <row r="31" spans="1:13" x14ac:dyDescent="0.2">
      <c r="A31" s="37"/>
      <c r="B31" s="189"/>
      <c r="C31" s="190"/>
      <c r="D31" s="189"/>
      <c r="E31" s="189"/>
      <c r="F31" s="189"/>
      <c r="G31" s="195"/>
      <c r="H31" s="173"/>
      <c r="I31" s="189"/>
      <c r="J31" s="190"/>
      <c r="K31" s="189"/>
      <c r="L31" s="189"/>
      <c r="M31" s="91"/>
    </row>
    <row r="32" spans="1:13" ht="25.5" x14ac:dyDescent="0.2">
      <c r="A32" s="37">
        <v>4</v>
      </c>
      <c r="B32" s="189" t="s">
        <v>955</v>
      </c>
      <c r="C32" s="190"/>
      <c r="D32" s="189"/>
      <c r="E32" s="189"/>
      <c r="F32" s="189"/>
      <c r="G32" s="195"/>
      <c r="H32" s="173" t="s">
        <v>923</v>
      </c>
      <c r="I32" s="189"/>
      <c r="J32" s="190"/>
      <c r="K32" s="189"/>
      <c r="L32" s="189"/>
      <c r="M32" s="91">
        <f>+M36+M42</f>
        <v>2106192300</v>
      </c>
    </row>
    <row r="33" spans="1:13" ht="25.5" x14ac:dyDescent="0.2">
      <c r="A33" s="37">
        <v>5</v>
      </c>
      <c r="B33" s="189"/>
      <c r="C33" s="190"/>
      <c r="D33" s="189"/>
      <c r="E33" s="196">
        <v>616</v>
      </c>
      <c r="F33" s="189" t="s">
        <v>268</v>
      </c>
      <c r="G33" s="195"/>
      <c r="H33" s="80" t="s">
        <v>365</v>
      </c>
      <c r="I33" s="196">
        <v>22</v>
      </c>
      <c r="J33" s="190" t="s">
        <v>286</v>
      </c>
      <c r="K33" s="196"/>
      <c r="L33" s="189"/>
      <c r="M33" s="194"/>
    </row>
    <row r="34" spans="1:13" ht="25.5" x14ac:dyDescent="0.2">
      <c r="A34" s="37">
        <v>5</v>
      </c>
      <c r="B34" s="189"/>
      <c r="C34" s="190"/>
      <c r="D34" s="189"/>
      <c r="E34" s="196">
        <v>617</v>
      </c>
      <c r="F34" s="189" t="s">
        <v>268</v>
      </c>
      <c r="G34" s="195"/>
      <c r="H34" s="80" t="s">
        <v>51</v>
      </c>
      <c r="I34" s="196">
        <v>92</v>
      </c>
      <c r="J34" s="190" t="s">
        <v>286</v>
      </c>
      <c r="K34" s="196"/>
      <c r="L34" s="189"/>
      <c r="M34" s="194"/>
    </row>
    <row r="35" spans="1:13" ht="25.5" x14ac:dyDescent="0.2">
      <c r="A35" s="37"/>
      <c r="B35" s="189"/>
      <c r="C35" s="190"/>
      <c r="D35" s="189"/>
      <c r="E35" s="196">
        <v>618</v>
      </c>
      <c r="F35" s="189" t="s">
        <v>268</v>
      </c>
      <c r="G35" s="195"/>
      <c r="H35" s="80" t="s">
        <v>1175</v>
      </c>
      <c r="I35" s="196">
        <v>116</v>
      </c>
      <c r="J35" s="190" t="s">
        <v>286</v>
      </c>
      <c r="K35" s="196"/>
      <c r="L35" s="189"/>
      <c r="M35" s="194"/>
    </row>
    <row r="36" spans="1:13" ht="25.5" x14ac:dyDescent="0.2">
      <c r="A36" s="37"/>
      <c r="B36" s="189"/>
      <c r="C36" s="190"/>
      <c r="D36" s="189"/>
      <c r="E36" s="196"/>
      <c r="F36" s="189"/>
      <c r="G36" s="195"/>
      <c r="H36" s="81" t="s">
        <v>636</v>
      </c>
      <c r="I36" s="196"/>
      <c r="J36" s="190"/>
      <c r="K36" s="196"/>
      <c r="L36" s="189"/>
      <c r="M36" s="91">
        <f>+M38+M40</f>
        <v>735125000</v>
      </c>
    </row>
    <row r="37" spans="1:13" x14ac:dyDescent="0.2">
      <c r="A37" s="37"/>
      <c r="B37" s="189"/>
      <c r="C37" s="190"/>
      <c r="D37" s="189" t="s">
        <v>597</v>
      </c>
      <c r="E37" s="196">
        <v>544</v>
      </c>
      <c r="F37" s="189" t="s">
        <v>1116</v>
      </c>
      <c r="G37" s="195"/>
      <c r="H37" s="80" t="s">
        <v>1117</v>
      </c>
      <c r="I37" s="196">
        <v>40</v>
      </c>
      <c r="J37" s="190" t="s">
        <v>286</v>
      </c>
      <c r="K37" s="196">
        <v>0</v>
      </c>
      <c r="L37" s="189" t="s">
        <v>1177</v>
      </c>
      <c r="M37" s="183"/>
    </row>
    <row r="38" spans="1:13" ht="38.25" x14ac:dyDescent="0.2">
      <c r="A38" s="37"/>
      <c r="B38" s="189"/>
      <c r="C38" s="190"/>
      <c r="D38" s="189"/>
      <c r="E38" s="196"/>
      <c r="F38" s="189"/>
      <c r="G38" s="195">
        <v>296053</v>
      </c>
      <c r="H38" s="80" t="s">
        <v>1178</v>
      </c>
      <c r="I38" s="196"/>
      <c r="J38" s="190"/>
      <c r="K38" s="196"/>
      <c r="L38" s="189"/>
      <c r="M38" s="183">
        <f>+M39</f>
        <v>535125000</v>
      </c>
    </row>
    <row r="39" spans="1:13" x14ac:dyDescent="0.2">
      <c r="A39" s="37"/>
      <c r="B39" s="189"/>
      <c r="C39" s="190"/>
      <c r="D39" s="189"/>
      <c r="E39" s="196"/>
      <c r="F39" s="189"/>
      <c r="G39" s="195"/>
      <c r="H39" s="80" t="s">
        <v>835</v>
      </c>
      <c r="I39" s="196"/>
      <c r="J39" s="190"/>
      <c r="K39" s="196"/>
      <c r="L39" s="189"/>
      <c r="M39" s="183">
        <v>535125000</v>
      </c>
    </row>
    <row r="40" spans="1:13" ht="25.5" x14ac:dyDescent="0.2">
      <c r="A40" s="37"/>
      <c r="B40" s="189"/>
      <c r="C40" s="190"/>
      <c r="D40" s="189"/>
      <c r="E40" s="196"/>
      <c r="F40" s="189"/>
      <c r="G40" s="195">
        <v>296053</v>
      </c>
      <c r="H40" s="80" t="s">
        <v>350</v>
      </c>
      <c r="I40" s="196"/>
      <c r="J40" s="190"/>
      <c r="K40" s="196"/>
      <c r="L40" s="189"/>
      <c r="M40" s="183">
        <f>+M41</f>
        <v>200000000</v>
      </c>
    </row>
    <row r="41" spans="1:13" x14ac:dyDescent="0.2">
      <c r="A41" s="37"/>
      <c r="B41" s="189"/>
      <c r="C41" s="190"/>
      <c r="D41" s="189"/>
      <c r="E41" s="196"/>
      <c r="F41" s="189"/>
      <c r="G41" s="195"/>
      <c r="H41" s="80" t="s">
        <v>835</v>
      </c>
      <c r="I41" s="196"/>
      <c r="J41" s="190"/>
      <c r="K41" s="196"/>
      <c r="L41" s="189"/>
      <c r="M41" s="183">
        <v>200000000</v>
      </c>
    </row>
    <row r="42" spans="1:13" x14ac:dyDescent="0.2">
      <c r="A42" s="37">
        <v>6</v>
      </c>
      <c r="B42" s="189" t="s">
        <v>955</v>
      </c>
      <c r="C42" s="190"/>
      <c r="D42" s="189"/>
      <c r="E42" s="189"/>
      <c r="F42" s="189"/>
      <c r="G42" s="195"/>
      <c r="H42" s="173" t="s">
        <v>801</v>
      </c>
      <c r="I42" s="189"/>
      <c r="J42" s="190"/>
      <c r="K42" s="189"/>
      <c r="L42" s="189"/>
      <c r="M42" s="91">
        <f>+M45+M47</f>
        <v>1371067300</v>
      </c>
    </row>
    <row r="43" spans="1:13" ht="25.5" x14ac:dyDescent="0.2">
      <c r="A43" s="37">
        <v>7</v>
      </c>
      <c r="B43" s="189"/>
      <c r="C43" s="190"/>
      <c r="D43" s="189" t="s">
        <v>597</v>
      </c>
      <c r="E43" s="196">
        <v>548</v>
      </c>
      <c r="F43" s="189" t="s">
        <v>1080</v>
      </c>
      <c r="G43" s="195"/>
      <c r="H43" s="80" t="s">
        <v>437</v>
      </c>
      <c r="I43" s="196">
        <v>4</v>
      </c>
      <c r="J43" s="190" t="s">
        <v>508</v>
      </c>
      <c r="K43" s="196">
        <v>1</v>
      </c>
      <c r="L43" s="189" t="s">
        <v>301</v>
      </c>
      <c r="M43" s="194"/>
    </row>
    <row r="44" spans="1:13" ht="25.5" x14ac:dyDescent="0.2">
      <c r="A44" s="37"/>
      <c r="B44" s="189"/>
      <c r="C44" s="190"/>
      <c r="D44" s="189" t="s">
        <v>597</v>
      </c>
      <c r="E44" s="196">
        <v>549</v>
      </c>
      <c r="F44" s="189" t="s">
        <v>1080</v>
      </c>
      <c r="G44" s="195"/>
      <c r="H44" s="80" t="s">
        <v>1101</v>
      </c>
      <c r="I44" s="196">
        <v>4</v>
      </c>
      <c r="J44" s="190" t="s">
        <v>1102</v>
      </c>
      <c r="K44" s="196">
        <v>2</v>
      </c>
      <c r="L44" s="189" t="s">
        <v>1025</v>
      </c>
      <c r="M44" s="194"/>
    </row>
    <row r="45" spans="1:13" ht="76.5" x14ac:dyDescent="0.2">
      <c r="A45" s="37">
        <v>8</v>
      </c>
      <c r="B45" s="189"/>
      <c r="C45" s="190" t="s">
        <v>1275</v>
      </c>
      <c r="D45" s="189"/>
      <c r="E45" s="189"/>
      <c r="F45" s="189"/>
      <c r="G45" s="195">
        <v>296053</v>
      </c>
      <c r="H45" s="174" t="s">
        <v>1178</v>
      </c>
      <c r="I45" s="189"/>
      <c r="J45" s="190"/>
      <c r="K45" s="189"/>
      <c r="L45" s="189"/>
      <c r="M45" s="183">
        <f>+M46</f>
        <v>641067300</v>
      </c>
    </row>
    <row r="46" spans="1:13" x14ac:dyDescent="0.2">
      <c r="A46" s="37">
        <v>9</v>
      </c>
      <c r="B46" s="189"/>
      <c r="C46" s="190"/>
      <c r="D46" s="189"/>
      <c r="E46" s="189"/>
      <c r="F46" s="189"/>
      <c r="G46" s="195"/>
      <c r="H46" s="80" t="s">
        <v>835</v>
      </c>
      <c r="I46" s="189"/>
      <c r="J46" s="190"/>
      <c r="K46" s="189"/>
      <c r="L46" s="189"/>
      <c r="M46" s="183">
        <f>236714800+404352500</f>
        <v>641067300</v>
      </c>
    </row>
    <row r="47" spans="1:13" ht="25.5" x14ac:dyDescent="0.2">
      <c r="A47" s="37"/>
      <c r="B47" s="189"/>
      <c r="C47" s="190" t="s">
        <v>10</v>
      </c>
      <c r="D47" s="189"/>
      <c r="E47" s="189"/>
      <c r="F47" s="189"/>
      <c r="G47" s="195">
        <v>296053</v>
      </c>
      <c r="H47" s="80" t="s">
        <v>350</v>
      </c>
      <c r="I47" s="189"/>
      <c r="J47" s="190"/>
      <c r="K47" s="189"/>
      <c r="L47" s="189"/>
      <c r="M47" s="183">
        <f>+M48</f>
        <v>730000000</v>
      </c>
    </row>
    <row r="48" spans="1:13" x14ac:dyDescent="0.2">
      <c r="A48" s="37"/>
      <c r="B48" s="189"/>
      <c r="C48" s="190"/>
      <c r="D48" s="189"/>
      <c r="E48" s="189"/>
      <c r="F48" s="189"/>
      <c r="G48" s="195"/>
      <c r="H48" s="80" t="s">
        <v>835</v>
      </c>
      <c r="I48" s="189"/>
      <c r="J48" s="190"/>
      <c r="K48" s="189"/>
      <c r="L48" s="189"/>
      <c r="M48" s="183">
        <f>500000000+80000000+150000000</f>
        <v>730000000</v>
      </c>
    </row>
    <row r="49" spans="1:13" x14ac:dyDescent="0.2">
      <c r="A49" s="37"/>
      <c r="B49" s="189"/>
      <c r="C49" s="190"/>
      <c r="D49" s="189"/>
      <c r="E49" s="189"/>
      <c r="F49" s="189"/>
      <c r="G49" s="195"/>
      <c r="H49" s="80"/>
      <c r="I49" s="189"/>
      <c r="J49" s="190"/>
      <c r="K49" s="189"/>
      <c r="L49" s="189"/>
      <c r="M49" s="183"/>
    </row>
    <row r="50" spans="1:13" x14ac:dyDescent="0.2">
      <c r="A50" s="37">
        <v>4</v>
      </c>
      <c r="B50" s="189" t="s">
        <v>285</v>
      </c>
      <c r="C50" s="190"/>
      <c r="D50" s="189"/>
      <c r="E50" s="189"/>
      <c r="F50" s="189"/>
      <c r="G50" s="195"/>
      <c r="H50" s="173" t="s">
        <v>590</v>
      </c>
      <c r="I50" s="189"/>
      <c r="J50" s="190"/>
      <c r="K50" s="189"/>
      <c r="L50" s="189"/>
      <c r="M50" s="91">
        <f>+M52</f>
        <v>100000000</v>
      </c>
    </row>
    <row r="51" spans="1:13" ht="25.5" x14ac:dyDescent="0.2">
      <c r="A51" s="37">
        <v>5</v>
      </c>
      <c r="B51" s="189"/>
      <c r="C51" s="190"/>
      <c r="D51" s="189"/>
      <c r="E51" s="196">
        <v>622</v>
      </c>
      <c r="F51" s="189" t="s">
        <v>268</v>
      </c>
      <c r="G51" s="195"/>
      <c r="H51" s="80" t="s">
        <v>372</v>
      </c>
      <c r="I51" s="196">
        <v>1</v>
      </c>
      <c r="J51" s="190" t="s">
        <v>107</v>
      </c>
      <c r="K51" s="196"/>
      <c r="L51" s="189"/>
      <c r="M51" s="194"/>
    </row>
    <row r="52" spans="1:13" x14ac:dyDescent="0.2">
      <c r="A52" s="37">
        <v>6</v>
      </c>
      <c r="B52" s="189" t="s">
        <v>857</v>
      </c>
      <c r="C52" s="190"/>
      <c r="D52" s="189"/>
      <c r="E52" s="189"/>
      <c r="F52" s="189"/>
      <c r="G52" s="195"/>
      <c r="H52" s="173" t="s">
        <v>118</v>
      </c>
      <c r="I52" s="189"/>
      <c r="J52" s="190"/>
      <c r="K52" s="189"/>
      <c r="L52" s="189"/>
      <c r="M52" s="91">
        <f>+M54</f>
        <v>100000000</v>
      </c>
    </row>
    <row r="53" spans="1:13" x14ac:dyDescent="0.2">
      <c r="A53" s="37">
        <v>7</v>
      </c>
      <c r="B53" s="189"/>
      <c r="C53" s="190"/>
      <c r="D53" s="189" t="s">
        <v>781</v>
      </c>
      <c r="E53" s="196">
        <v>552</v>
      </c>
      <c r="F53" s="189" t="s">
        <v>1466</v>
      </c>
      <c r="G53" s="195"/>
      <c r="H53" s="80" t="s">
        <v>698</v>
      </c>
      <c r="I53" s="196">
        <v>4</v>
      </c>
      <c r="J53" s="190" t="s">
        <v>234</v>
      </c>
      <c r="K53" s="196">
        <v>2</v>
      </c>
      <c r="L53" s="189" t="s">
        <v>301</v>
      </c>
      <c r="M53" s="194"/>
    </row>
    <row r="54" spans="1:13" ht="38.25" x14ac:dyDescent="0.2">
      <c r="A54" s="37">
        <v>8</v>
      </c>
      <c r="B54" s="189"/>
      <c r="C54" s="190" t="s">
        <v>10</v>
      </c>
      <c r="D54" s="189"/>
      <c r="E54" s="189"/>
      <c r="F54" s="189"/>
      <c r="G54" s="195">
        <v>296007</v>
      </c>
      <c r="H54" s="80" t="s">
        <v>311</v>
      </c>
      <c r="I54" s="189"/>
      <c r="J54" s="190"/>
      <c r="K54" s="189"/>
      <c r="L54" s="189"/>
      <c r="M54" s="183">
        <f>+M55</f>
        <v>100000000</v>
      </c>
    </row>
    <row r="55" spans="1:13" x14ac:dyDescent="0.2">
      <c r="A55" s="37">
        <v>9</v>
      </c>
      <c r="B55" s="189"/>
      <c r="C55" s="190"/>
      <c r="D55" s="189"/>
      <c r="E55" s="189"/>
      <c r="F55" s="189"/>
      <c r="G55" s="195"/>
      <c r="H55" s="80" t="s">
        <v>835</v>
      </c>
      <c r="I55" s="189"/>
      <c r="J55" s="190"/>
      <c r="K55" s="189"/>
      <c r="L55" s="189"/>
      <c r="M55" s="183">
        <v>100000000</v>
      </c>
    </row>
    <row r="56" spans="1:13" ht="25.5" x14ac:dyDescent="0.2">
      <c r="A56" s="37">
        <v>4</v>
      </c>
      <c r="B56" s="189" t="s">
        <v>1069</v>
      </c>
      <c r="C56" s="190"/>
      <c r="D56" s="189"/>
      <c r="E56" s="189"/>
      <c r="F56" s="189"/>
      <c r="G56" s="195"/>
      <c r="H56" s="173" t="s">
        <v>739</v>
      </c>
      <c r="I56" s="189"/>
      <c r="J56" s="190"/>
      <c r="K56" s="189"/>
      <c r="L56" s="189"/>
      <c r="M56" s="91">
        <f>+M58</f>
        <v>652504000</v>
      </c>
    </row>
    <row r="57" spans="1:13" ht="25.5" x14ac:dyDescent="0.2">
      <c r="A57" s="37">
        <v>5</v>
      </c>
      <c r="B57" s="189"/>
      <c r="C57" s="190"/>
      <c r="D57" s="189"/>
      <c r="E57" s="196">
        <v>622</v>
      </c>
      <c r="F57" s="189" t="s">
        <v>268</v>
      </c>
      <c r="G57" s="195"/>
      <c r="H57" s="80" t="s">
        <v>372</v>
      </c>
      <c r="I57" s="196">
        <v>1</v>
      </c>
      <c r="J57" s="190" t="s">
        <v>107</v>
      </c>
      <c r="K57" s="196"/>
      <c r="L57" s="189"/>
      <c r="M57" s="194"/>
    </row>
    <row r="58" spans="1:13" x14ac:dyDescent="0.2">
      <c r="A58" s="37">
        <v>6</v>
      </c>
      <c r="B58" s="189" t="s">
        <v>857</v>
      </c>
      <c r="C58" s="190"/>
      <c r="D58" s="189"/>
      <c r="E58" s="189"/>
      <c r="F58" s="189"/>
      <c r="G58" s="195"/>
      <c r="H58" s="173" t="s">
        <v>42</v>
      </c>
      <c r="I58" s="189"/>
      <c r="J58" s="190"/>
      <c r="K58" s="189"/>
      <c r="L58" s="189"/>
      <c r="M58" s="91">
        <f>+M62+M64+M66</f>
        <v>652504000</v>
      </c>
    </row>
    <row r="59" spans="1:13" ht="38.25" x14ac:dyDescent="0.2">
      <c r="A59" s="37">
        <v>7</v>
      </c>
      <c r="B59" s="189"/>
      <c r="C59" s="190"/>
      <c r="D59" s="189" t="s">
        <v>63</v>
      </c>
      <c r="E59" s="196">
        <v>593</v>
      </c>
      <c r="F59" s="189" t="s">
        <v>1080</v>
      </c>
      <c r="G59" s="195"/>
      <c r="H59" s="80" t="s">
        <v>1024</v>
      </c>
      <c r="I59" s="196">
        <v>1</v>
      </c>
      <c r="J59" s="190" t="s">
        <v>924</v>
      </c>
      <c r="K59" s="196">
        <v>1</v>
      </c>
      <c r="L59" s="189" t="s">
        <v>301</v>
      </c>
      <c r="M59" s="194"/>
    </row>
    <row r="60" spans="1:13" ht="51" x14ac:dyDescent="0.2">
      <c r="A60" s="37"/>
      <c r="B60" s="189"/>
      <c r="C60" s="190"/>
      <c r="D60" s="189" t="s">
        <v>597</v>
      </c>
      <c r="E60" s="196">
        <v>594</v>
      </c>
      <c r="F60" s="189" t="s">
        <v>1080</v>
      </c>
      <c r="G60" s="195"/>
      <c r="H60" s="176" t="s">
        <v>890</v>
      </c>
      <c r="I60" s="196">
        <v>3</v>
      </c>
      <c r="J60" s="190" t="s">
        <v>909</v>
      </c>
      <c r="K60" s="196">
        <v>1</v>
      </c>
      <c r="L60" s="189" t="s">
        <v>301</v>
      </c>
      <c r="M60" s="194"/>
    </row>
    <row r="61" spans="1:13" ht="25.5" x14ac:dyDescent="0.2">
      <c r="A61" s="37">
        <v>7</v>
      </c>
      <c r="B61" s="189"/>
      <c r="C61" s="190"/>
      <c r="D61" s="189" t="s">
        <v>63</v>
      </c>
      <c r="E61" s="196">
        <v>595</v>
      </c>
      <c r="F61" s="189" t="s">
        <v>1080</v>
      </c>
      <c r="G61" s="195"/>
      <c r="H61" s="80" t="s">
        <v>66</v>
      </c>
      <c r="I61" s="196">
        <v>1</v>
      </c>
      <c r="J61" s="190" t="s">
        <v>772</v>
      </c>
      <c r="K61" s="196">
        <v>0</v>
      </c>
      <c r="L61" s="189" t="s">
        <v>1297</v>
      </c>
      <c r="M61" s="194"/>
    </row>
    <row r="62" spans="1:13" ht="38.25" x14ac:dyDescent="0.2">
      <c r="A62" s="37">
        <v>8</v>
      </c>
      <c r="B62" s="189"/>
      <c r="C62" s="190" t="s">
        <v>10</v>
      </c>
      <c r="D62" s="189"/>
      <c r="E62" s="189"/>
      <c r="F62" s="189"/>
      <c r="G62" s="195">
        <v>296005</v>
      </c>
      <c r="H62" s="80" t="s">
        <v>1467</v>
      </c>
      <c r="I62" s="189"/>
      <c r="J62" s="190"/>
      <c r="K62" s="189"/>
      <c r="L62" s="189"/>
      <c r="M62" s="183">
        <f>+M63</f>
        <v>215000000</v>
      </c>
    </row>
    <row r="63" spans="1:13" x14ac:dyDescent="0.2">
      <c r="A63" s="37">
        <v>9</v>
      </c>
      <c r="B63" s="189"/>
      <c r="C63" s="190"/>
      <c r="D63" s="189"/>
      <c r="E63" s="189"/>
      <c r="F63" s="189"/>
      <c r="G63" s="195"/>
      <c r="H63" s="80" t="s">
        <v>835</v>
      </c>
      <c r="I63" s="189"/>
      <c r="J63" s="190"/>
      <c r="K63" s="189"/>
      <c r="L63" s="189"/>
      <c r="M63" s="183">
        <f>125000000+90000000</f>
        <v>215000000</v>
      </c>
    </row>
    <row r="64" spans="1:13" ht="25.5" x14ac:dyDescent="0.2">
      <c r="A64" s="37">
        <v>8</v>
      </c>
      <c r="B64" s="189"/>
      <c r="C64" s="190" t="s">
        <v>10</v>
      </c>
      <c r="D64" s="189"/>
      <c r="E64" s="189"/>
      <c r="F64" s="189"/>
      <c r="G64" s="195">
        <v>295956</v>
      </c>
      <c r="H64" s="80" t="s">
        <v>1047</v>
      </c>
      <c r="I64" s="189"/>
      <c r="J64" s="190"/>
      <c r="K64" s="189"/>
      <c r="L64" s="189"/>
      <c r="M64" s="183">
        <f>+M65</f>
        <v>50000000</v>
      </c>
    </row>
    <row r="65" spans="1:13" x14ac:dyDescent="0.2">
      <c r="A65" s="37">
        <v>9</v>
      </c>
      <c r="B65" s="189"/>
      <c r="C65" s="190"/>
      <c r="D65" s="189"/>
      <c r="E65" s="189"/>
      <c r="F65" s="189"/>
      <c r="G65" s="195"/>
      <c r="H65" s="80" t="s">
        <v>835</v>
      </c>
      <c r="I65" s="189"/>
      <c r="J65" s="190"/>
      <c r="K65" s="189"/>
      <c r="L65" s="189"/>
      <c r="M65" s="183">
        <v>50000000</v>
      </c>
    </row>
    <row r="66" spans="1:13" ht="51" x14ac:dyDescent="0.2">
      <c r="A66" s="37">
        <v>8</v>
      </c>
      <c r="B66" s="189"/>
      <c r="C66" s="190" t="s">
        <v>1159</v>
      </c>
      <c r="D66" s="189"/>
      <c r="E66" s="189"/>
      <c r="F66" s="189"/>
      <c r="G66" s="195">
        <v>295976</v>
      </c>
      <c r="H66" s="80" t="s">
        <v>1172</v>
      </c>
      <c r="I66" s="189"/>
      <c r="J66" s="190"/>
      <c r="K66" s="189"/>
      <c r="L66" s="189"/>
      <c r="M66" s="183">
        <f>+M67</f>
        <v>387504000</v>
      </c>
    </row>
    <row r="67" spans="1:13" x14ac:dyDescent="0.2">
      <c r="A67" s="37">
        <v>9</v>
      </c>
      <c r="B67" s="189"/>
      <c r="C67" s="190"/>
      <c r="D67" s="189"/>
      <c r="E67" s="189"/>
      <c r="F67" s="189"/>
      <c r="G67" s="195"/>
      <c r="H67" s="80" t="s">
        <v>835</v>
      </c>
      <c r="I67" s="189"/>
      <c r="J67" s="190"/>
      <c r="K67" s="189"/>
      <c r="L67" s="189"/>
      <c r="M67" s="183">
        <v>387504000</v>
      </c>
    </row>
    <row r="68" spans="1:13" x14ac:dyDescent="0.2">
      <c r="A68" s="37"/>
      <c r="B68" s="189"/>
      <c r="C68" s="190"/>
      <c r="D68" s="189"/>
      <c r="E68" s="189"/>
      <c r="F68" s="189"/>
      <c r="G68" s="195"/>
      <c r="H68" s="80"/>
      <c r="I68" s="189"/>
      <c r="J68" s="190"/>
      <c r="K68" s="189"/>
      <c r="L68" s="189"/>
      <c r="M68" s="183"/>
    </row>
    <row r="69" spans="1:13" x14ac:dyDescent="0.2">
      <c r="A69" s="37">
        <v>4</v>
      </c>
      <c r="B69" s="189" t="s">
        <v>472</v>
      </c>
      <c r="C69" s="190"/>
      <c r="D69" s="189"/>
      <c r="E69" s="189"/>
      <c r="F69" s="189"/>
      <c r="G69" s="195"/>
      <c r="H69" s="173" t="s">
        <v>653</v>
      </c>
      <c r="I69" s="189"/>
      <c r="J69" s="190"/>
      <c r="K69" s="189"/>
      <c r="L69" s="189"/>
      <c r="M69" s="91">
        <f>+M72</f>
        <v>690000000</v>
      </c>
    </row>
    <row r="70" spans="1:13" x14ac:dyDescent="0.2">
      <c r="A70" s="37">
        <v>5</v>
      </c>
      <c r="B70" s="189"/>
      <c r="C70" s="190"/>
      <c r="D70" s="189"/>
      <c r="E70" s="196">
        <v>614</v>
      </c>
      <c r="F70" s="189" t="s">
        <v>268</v>
      </c>
      <c r="G70" s="195"/>
      <c r="H70" s="80" t="s">
        <v>313</v>
      </c>
      <c r="I70" s="196">
        <v>1</v>
      </c>
      <c r="J70" s="190" t="s">
        <v>1046</v>
      </c>
      <c r="K70" s="196"/>
      <c r="L70" s="189"/>
      <c r="M70" s="194"/>
    </row>
    <row r="71" spans="1:13" ht="25.5" x14ac:dyDescent="0.2">
      <c r="A71" s="37">
        <v>5</v>
      </c>
      <c r="B71" s="189"/>
      <c r="C71" s="190"/>
      <c r="D71" s="189"/>
      <c r="E71" s="196">
        <v>623</v>
      </c>
      <c r="F71" s="189" t="s">
        <v>268</v>
      </c>
      <c r="G71" s="195"/>
      <c r="H71" s="80" t="s">
        <v>255</v>
      </c>
      <c r="I71" s="196">
        <v>100</v>
      </c>
      <c r="J71" s="190" t="s">
        <v>48</v>
      </c>
      <c r="K71" s="196"/>
      <c r="L71" s="189"/>
      <c r="M71" s="194"/>
    </row>
    <row r="72" spans="1:13" ht="25.5" x14ac:dyDescent="0.2">
      <c r="A72" s="37">
        <v>6</v>
      </c>
      <c r="B72" s="189" t="s">
        <v>857</v>
      </c>
      <c r="C72" s="190"/>
      <c r="D72" s="189"/>
      <c r="E72" s="189"/>
      <c r="F72" s="189"/>
      <c r="G72" s="195"/>
      <c r="H72" s="173" t="s">
        <v>424</v>
      </c>
      <c r="I72" s="189"/>
      <c r="J72" s="190"/>
      <c r="K72" s="189"/>
      <c r="L72" s="189"/>
      <c r="M72" s="91">
        <f>+M81+M83</f>
        <v>690000000</v>
      </c>
    </row>
    <row r="73" spans="1:13" ht="25.5" x14ac:dyDescent="0.2">
      <c r="A73" s="37"/>
      <c r="B73" s="189"/>
      <c r="C73" s="190"/>
      <c r="D73" s="189"/>
      <c r="E73" s="196">
        <v>600</v>
      </c>
      <c r="F73" s="196" t="s">
        <v>1380</v>
      </c>
      <c r="G73" s="189"/>
      <c r="H73" s="80" t="s">
        <v>1119</v>
      </c>
      <c r="I73" s="196">
        <v>40</v>
      </c>
      <c r="J73" s="190" t="s">
        <v>440</v>
      </c>
      <c r="K73" s="196">
        <v>20</v>
      </c>
      <c r="L73" s="189" t="s">
        <v>1176</v>
      </c>
      <c r="M73" s="194"/>
    </row>
    <row r="74" spans="1:13" ht="25.5" x14ac:dyDescent="0.2">
      <c r="A74" s="37"/>
      <c r="B74" s="189"/>
      <c r="C74" s="190"/>
      <c r="D74" s="189"/>
      <c r="E74" s="196">
        <v>601</v>
      </c>
      <c r="F74" s="196" t="s">
        <v>1080</v>
      </c>
      <c r="G74" s="189"/>
      <c r="H74" s="80" t="s">
        <v>1468</v>
      </c>
      <c r="I74" s="196">
        <v>100</v>
      </c>
      <c r="J74" s="190" t="s">
        <v>1469</v>
      </c>
      <c r="K74" s="196">
        <v>100</v>
      </c>
      <c r="L74" s="189" t="s">
        <v>1165</v>
      </c>
      <c r="M74" s="194"/>
    </row>
    <row r="75" spans="1:13" ht="38.25" x14ac:dyDescent="0.2">
      <c r="A75" s="37"/>
      <c r="B75" s="189"/>
      <c r="C75" s="190"/>
      <c r="D75" s="189"/>
      <c r="E75" s="196">
        <v>603</v>
      </c>
      <c r="F75" s="196" t="s">
        <v>1080</v>
      </c>
      <c r="G75" s="189"/>
      <c r="H75" s="80" t="s">
        <v>1126</v>
      </c>
      <c r="I75" s="196">
        <v>14</v>
      </c>
      <c r="J75" s="190" t="s">
        <v>1127</v>
      </c>
      <c r="K75" s="196">
        <v>4</v>
      </c>
      <c r="L75" s="189" t="s">
        <v>841</v>
      </c>
      <c r="M75" s="194"/>
    </row>
    <row r="76" spans="1:13" ht="51" x14ac:dyDescent="0.2">
      <c r="A76" s="37"/>
      <c r="B76" s="189"/>
      <c r="C76" s="190"/>
      <c r="D76" s="189"/>
      <c r="E76" s="196">
        <v>604</v>
      </c>
      <c r="F76" s="196" t="s">
        <v>1080</v>
      </c>
      <c r="G76" s="189"/>
      <c r="H76" s="206" t="s">
        <v>1124</v>
      </c>
      <c r="I76" s="196">
        <v>7</v>
      </c>
      <c r="J76" s="190" t="s">
        <v>1125</v>
      </c>
      <c r="K76" s="196">
        <v>1</v>
      </c>
      <c r="L76" s="189" t="s">
        <v>1025</v>
      </c>
      <c r="M76" s="194"/>
    </row>
    <row r="77" spans="1:13" ht="51" x14ac:dyDescent="0.2">
      <c r="A77" s="37"/>
      <c r="B77" s="189"/>
      <c r="C77" s="190"/>
      <c r="D77" s="189"/>
      <c r="E77" s="196">
        <v>605</v>
      </c>
      <c r="F77" s="196" t="s">
        <v>1080</v>
      </c>
      <c r="G77" s="189"/>
      <c r="H77" s="206" t="s">
        <v>1122</v>
      </c>
      <c r="I77" s="196">
        <v>4</v>
      </c>
      <c r="J77" s="190" t="s">
        <v>1123</v>
      </c>
      <c r="K77" s="196">
        <v>1</v>
      </c>
      <c r="L77" s="189" t="s">
        <v>301</v>
      </c>
      <c r="M77" s="194"/>
    </row>
    <row r="78" spans="1:13" ht="25.5" x14ac:dyDescent="0.2">
      <c r="A78" s="37"/>
      <c r="B78" s="189"/>
      <c r="C78" s="190"/>
      <c r="D78" s="189"/>
      <c r="E78" s="196">
        <v>606</v>
      </c>
      <c r="F78" s="196" t="s">
        <v>1080</v>
      </c>
      <c r="G78" s="189"/>
      <c r="H78" s="80" t="s">
        <v>1129</v>
      </c>
      <c r="I78" s="196">
        <v>8</v>
      </c>
      <c r="J78" s="190" t="s">
        <v>909</v>
      </c>
      <c r="K78" s="196">
        <v>1</v>
      </c>
      <c r="L78" s="189" t="s">
        <v>422</v>
      </c>
      <c r="M78" s="194"/>
    </row>
    <row r="79" spans="1:13" x14ac:dyDescent="0.2">
      <c r="A79" s="37"/>
      <c r="B79" s="189"/>
      <c r="C79" s="190"/>
      <c r="D79" s="189"/>
      <c r="E79" s="196">
        <v>607</v>
      </c>
      <c r="F79" s="196" t="s">
        <v>1080</v>
      </c>
      <c r="G79" s="189"/>
      <c r="H79" s="80" t="s">
        <v>1128</v>
      </c>
      <c r="I79" s="196">
        <v>4</v>
      </c>
      <c r="J79" s="190" t="s">
        <v>670</v>
      </c>
      <c r="K79" s="196">
        <v>0</v>
      </c>
      <c r="L79" s="189" t="s">
        <v>1025</v>
      </c>
      <c r="M79" s="194"/>
    </row>
    <row r="80" spans="1:13" ht="25.5" x14ac:dyDescent="0.2">
      <c r="A80" s="37"/>
      <c r="B80" s="189"/>
      <c r="C80" s="190"/>
      <c r="D80" s="189"/>
      <c r="E80" s="196">
        <v>608</v>
      </c>
      <c r="F80" s="196" t="s">
        <v>1380</v>
      </c>
      <c r="G80" s="189"/>
      <c r="H80" s="80" t="s">
        <v>1120</v>
      </c>
      <c r="I80" s="196">
        <v>8</v>
      </c>
      <c r="J80" s="190" t="s">
        <v>1121</v>
      </c>
      <c r="K80" s="196">
        <v>3</v>
      </c>
      <c r="L80" s="189" t="s">
        <v>1025</v>
      </c>
      <c r="M80" s="194"/>
    </row>
    <row r="81" spans="1:105" ht="25.5" x14ac:dyDescent="0.2">
      <c r="A81" s="37">
        <v>8</v>
      </c>
      <c r="B81" s="189"/>
      <c r="C81" s="190" t="s">
        <v>10</v>
      </c>
      <c r="D81" s="189"/>
      <c r="E81" s="189"/>
      <c r="F81" s="189"/>
      <c r="G81" s="195">
        <v>296103</v>
      </c>
      <c r="H81" s="80" t="s">
        <v>577</v>
      </c>
      <c r="I81" s="189"/>
      <c r="J81" s="190"/>
      <c r="K81" s="189"/>
      <c r="L81" s="189"/>
      <c r="M81" s="183">
        <f t="shared" ref="M81" si="0">+M82</f>
        <v>180000000</v>
      </c>
    </row>
    <row r="82" spans="1:105" x14ac:dyDescent="0.2">
      <c r="A82" s="37">
        <v>9</v>
      </c>
      <c r="B82" s="189"/>
      <c r="C82" s="190"/>
      <c r="D82" s="189"/>
      <c r="E82" s="189"/>
      <c r="F82" s="189"/>
      <c r="G82" s="195"/>
      <c r="H82" s="80" t="s">
        <v>835</v>
      </c>
      <c r="I82" s="189"/>
      <c r="J82" s="190"/>
      <c r="K82" s="189"/>
      <c r="L82" s="189"/>
      <c r="M82" s="183">
        <f>200000000+70000000+160000000+70000000+150000000+30000000+150000000-140000000-510000000</f>
        <v>180000000</v>
      </c>
    </row>
    <row r="83" spans="1:105" ht="25.5" x14ac:dyDescent="0.2">
      <c r="A83" s="37"/>
      <c r="B83" s="189"/>
      <c r="C83" s="190" t="s">
        <v>10</v>
      </c>
      <c r="D83" s="189"/>
      <c r="E83" s="189"/>
      <c r="F83" s="189"/>
      <c r="G83" s="195">
        <v>296103</v>
      </c>
      <c r="H83" s="80" t="s">
        <v>1541</v>
      </c>
      <c r="I83" s="189"/>
      <c r="J83" s="190"/>
      <c r="K83" s="189"/>
      <c r="L83" s="189"/>
      <c r="M83" s="183">
        <f>+M84</f>
        <v>510000000</v>
      </c>
    </row>
    <row r="84" spans="1:105" x14ac:dyDescent="0.2">
      <c r="A84" s="37"/>
      <c r="B84" s="189"/>
      <c r="C84" s="190"/>
      <c r="D84" s="189"/>
      <c r="E84" s="189"/>
      <c r="F84" s="189"/>
      <c r="G84" s="195"/>
      <c r="H84" s="80" t="s">
        <v>835</v>
      </c>
      <c r="I84" s="189"/>
      <c r="J84" s="190"/>
      <c r="K84" s="189"/>
      <c r="L84" s="189"/>
      <c r="M84" s="183">
        <v>510000000</v>
      </c>
    </row>
    <row r="85" spans="1:105" x14ac:dyDescent="0.2">
      <c r="A85" s="37"/>
      <c r="B85" s="189"/>
      <c r="C85" s="190"/>
      <c r="D85" s="189"/>
      <c r="E85" s="189"/>
      <c r="F85" s="189"/>
      <c r="G85" s="195"/>
      <c r="H85" s="80"/>
      <c r="I85" s="189"/>
      <c r="J85" s="190"/>
      <c r="K85" s="189"/>
      <c r="L85" s="189"/>
      <c r="M85" s="183"/>
    </row>
    <row r="86" spans="1:105" x14ac:dyDescent="0.2">
      <c r="A86" s="37"/>
      <c r="B86" s="189"/>
      <c r="C86" s="190"/>
      <c r="D86" s="189"/>
      <c r="E86" s="189"/>
      <c r="F86" s="189"/>
      <c r="G86" s="195"/>
      <c r="H86" s="80"/>
      <c r="I86" s="189"/>
      <c r="J86" s="190"/>
      <c r="K86" s="189"/>
      <c r="L86" s="189"/>
      <c r="M86" s="183"/>
    </row>
    <row r="87" spans="1:105" ht="15" x14ac:dyDescent="0.25">
      <c r="A87" s="37">
        <v>10</v>
      </c>
      <c r="B87" s="189"/>
      <c r="C87" s="190"/>
      <c r="D87" s="189"/>
      <c r="E87" s="189"/>
      <c r="F87" s="189"/>
      <c r="G87" s="195"/>
      <c r="H87" s="207" t="s">
        <v>517</v>
      </c>
      <c r="I87" s="208"/>
      <c r="J87" s="207"/>
      <c r="K87" s="208"/>
      <c r="L87" s="208"/>
      <c r="M87" s="202">
        <f>+M9+M24</f>
        <v>7288366800</v>
      </c>
    </row>
    <row r="88" spans="1:105" ht="15" x14ac:dyDescent="0.25">
      <c r="A88" s="37"/>
      <c r="B88" s="189"/>
      <c r="C88" s="190"/>
      <c r="D88" s="189"/>
      <c r="E88" s="189"/>
      <c r="F88" s="189"/>
      <c r="G88" s="195"/>
      <c r="H88" s="207"/>
      <c r="I88" s="208"/>
      <c r="J88" s="207"/>
      <c r="K88" s="208"/>
      <c r="L88" s="208"/>
      <c r="M88" s="202"/>
    </row>
    <row r="89" spans="1:105" s="36" customFormat="1" x14ac:dyDescent="0.2">
      <c r="A89" s="32"/>
      <c r="B89" s="203"/>
      <c r="C89" s="203"/>
      <c r="D89" s="203"/>
      <c r="E89" s="203"/>
      <c r="F89" s="203"/>
      <c r="G89" s="203"/>
      <c r="H89" s="203"/>
      <c r="I89" s="203"/>
      <c r="J89" s="203"/>
      <c r="K89" s="203"/>
      <c r="L89" s="192"/>
      <c r="M89" s="175"/>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row>
    <row r="90" spans="1:105" s="36" customFormat="1" x14ac:dyDescent="0.2">
      <c r="A90" s="32"/>
      <c r="B90" s="204"/>
      <c r="C90" s="204"/>
      <c r="D90" s="204"/>
      <c r="E90" s="204"/>
      <c r="F90" s="204"/>
      <c r="G90" s="204"/>
      <c r="H90" s="204"/>
      <c r="I90" s="204"/>
      <c r="J90" s="204"/>
      <c r="K90" s="204"/>
      <c r="L90" s="192"/>
      <c r="M90" s="175"/>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row>
    <row r="91" spans="1:105" s="36" customFormat="1" x14ac:dyDescent="0.2">
      <c r="A91" s="32"/>
      <c r="B91" s="204"/>
      <c r="C91" s="204"/>
      <c r="D91" s="204"/>
      <c r="E91" s="204"/>
      <c r="F91" s="204"/>
      <c r="G91" s="204"/>
      <c r="H91" s="204"/>
      <c r="I91" s="204"/>
      <c r="J91" s="204"/>
      <c r="K91" s="204"/>
      <c r="L91" s="192"/>
      <c r="M91" s="183"/>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row>
    <row r="92" spans="1:105" s="36" customFormat="1" x14ac:dyDescent="0.2">
      <c r="A92" s="32"/>
      <c r="B92" s="204"/>
      <c r="C92" s="204"/>
      <c r="D92" s="204"/>
      <c r="E92" s="204"/>
      <c r="F92" s="204"/>
      <c r="G92" s="204"/>
      <c r="H92" s="204"/>
      <c r="I92" s="204"/>
      <c r="J92" s="204"/>
      <c r="K92" s="204"/>
      <c r="L92" s="192"/>
      <c r="M92" s="175"/>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row>
    <row r="93" spans="1:105" s="36" customFormat="1" x14ac:dyDescent="0.2">
      <c r="A93" s="32"/>
      <c r="B93" s="204"/>
      <c r="C93" s="204"/>
      <c r="D93" s="204"/>
      <c r="E93" s="204"/>
      <c r="F93" s="204"/>
      <c r="G93" s="204"/>
      <c r="H93" s="204"/>
      <c r="I93" s="204"/>
      <c r="J93" s="204"/>
      <c r="K93" s="204"/>
      <c r="L93" s="192"/>
      <c r="M93" s="175"/>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row>
    <row r="94" spans="1:105" s="36" customFormat="1" x14ac:dyDescent="0.2">
      <c r="A94" s="32"/>
      <c r="B94" s="204"/>
      <c r="C94" s="204"/>
      <c r="D94" s="204"/>
      <c r="E94" s="204"/>
      <c r="F94" s="204"/>
      <c r="G94" s="204"/>
      <c r="H94" s="204"/>
      <c r="I94" s="204"/>
      <c r="J94" s="204"/>
      <c r="K94" s="204"/>
      <c r="L94" s="192"/>
      <c r="M94" s="175"/>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row>
    <row r="95" spans="1:105" s="36" customFormat="1" x14ac:dyDescent="0.2">
      <c r="A95" s="32"/>
      <c r="B95" s="204"/>
      <c r="C95" s="204"/>
      <c r="D95" s="204"/>
      <c r="E95" s="204"/>
      <c r="F95" s="204"/>
      <c r="G95" s="204"/>
      <c r="H95" s="204"/>
      <c r="I95" s="204"/>
      <c r="J95" s="204"/>
      <c r="K95" s="204"/>
      <c r="L95" s="192"/>
      <c r="M95" s="175"/>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row>
    <row r="96" spans="1:105" s="36" customFormat="1" x14ac:dyDescent="0.2">
      <c r="A96" s="32"/>
      <c r="B96" s="204"/>
      <c r="C96" s="204"/>
      <c r="D96" s="204"/>
      <c r="E96" s="204"/>
      <c r="F96" s="204"/>
      <c r="G96" s="204"/>
      <c r="H96" s="204"/>
      <c r="I96" s="204"/>
      <c r="J96" s="204"/>
      <c r="K96" s="204"/>
      <c r="L96" s="192"/>
      <c r="M96" s="175"/>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row>
    <row r="97" spans="1:105" s="36" customFormat="1" x14ac:dyDescent="0.2">
      <c r="A97" s="32"/>
      <c r="B97" s="192"/>
      <c r="C97" s="193"/>
      <c r="D97" s="192"/>
      <c r="E97" s="192"/>
      <c r="F97" s="192"/>
      <c r="G97" s="195"/>
      <c r="H97" s="170"/>
      <c r="I97" s="192"/>
      <c r="J97" s="193"/>
      <c r="K97" s="192"/>
      <c r="L97" s="192"/>
      <c r="M97" s="175"/>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row>
    <row r="98" spans="1:105" s="36" customFormat="1" x14ac:dyDescent="0.2">
      <c r="A98" s="32"/>
      <c r="B98" s="192"/>
      <c r="C98" s="193"/>
      <c r="D98" s="192"/>
      <c r="E98" s="192"/>
      <c r="F98" s="192"/>
      <c r="G98" s="195"/>
      <c r="H98" s="179"/>
      <c r="I98" s="192"/>
      <c r="J98" s="193"/>
      <c r="K98" s="192"/>
      <c r="L98" s="192"/>
      <c r="M98" s="91"/>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row>
    <row r="99" spans="1:105" s="36" customFormat="1" x14ac:dyDescent="0.2">
      <c r="A99" s="32"/>
      <c r="B99" s="192"/>
      <c r="C99" s="193"/>
      <c r="D99" s="192"/>
      <c r="E99" s="192"/>
      <c r="F99" s="192"/>
      <c r="G99" s="195"/>
      <c r="H99" s="170"/>
      <c r="I99" s="192"/>
      <c r="J99" s="193"/>
      <c r="K99" s="192"/>
      <c r="L99" s="192"/>
      <c r="M99" s="175"/>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row>
    <row r="100" spans="1:105" s="36" customFormat="1" x14ac:dyDescent="0.2">
      <c r="A100" s="32"/>
      <c r="B100" s="192"/>
      <c r="C100" s="193"/>
      <c r="D100" s="192"/>
      <c r="E100" s="192"/>
      <c r="F100" s="192"/>
      <c r="G100" s="195"/>
      <c r="H100" s="170"/>
      <c r="I100" s="192"/>
      <c r="J100" s="193"/>
      <c r="K100" s="192"/>
      <c r="L100" s="192"/>
      <c r="M100" s="175"/>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row>
    <row r="101" spans="1:105" s="36" customFormat="1" x14ac:dyDescent="0.2">
      <c r="A101" s="32"/>
      <c r="B101" s="69"/>
      <c r="C101" s="70"/>
      <c r="D101" s="69"/>
      <c r="E101" s="69"/>
      <c r="F101" s="69"/>
      <c r="G101" s="61"/>
      <c r="H101" s="95"/>
      <c r="I101" s="69"/>
      <c r="J101" s="70"/>
      <c r="K101" s="69"/>
      <c r="L101" s="69"/>
      <c r="M101" s="38"/>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row>
    <row r="102" spans="1:105" s="36" customFormat="1" x14ac:dyDescent="0.2">
      <c r="A102" s="32"/>
      <c r="B102" s="69"/>
      <c r="C102" s="70"/>
      <c r="D102" s="69"/>
      <c r="E102" s="69"/>
      <c r="F102" s="69"/>
      <c r="G102" s="61"/>
      <c r="H102" s="95"/>
      <c r="I102" s="97"/>
      <c r="J102" s="71"/>
      <c r="K102" s="97"/>
      <c r="L102" s="97"/>
      <c r="M102" s="38"/>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row>
    <row r="103" spans="1:105" s="36" customFormat="1" x14ac:dyDescent="0.2">
      <c r="A103" s="32"/>
      <c r="B103" s="69"/>
      <c r="C103" s="70"/>
      <c r="D103" s="69"/>
      <c r="E103" s="69"/>
      <c r="F103" s="69"/>
      <c r="G103" s="61"/>
      <c r="H103" s="103"/>
      <c r="I103" s="104"/>
      <c r="J103" s="105"/>
      <c r="K103" s="104"/>
      <c r="L103" s="104"/>
      <c r="M103" s="9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row>
    <row r="104" spans="1:105" s="36" customFormat="1" x14ac:dyDescent="0.2">
      <c r="A104" s="32"/>
      <c r="B104" s="69"/>
      <c r="C104" s="70"/>
      <c r="D104" s="69"/>
      <c r="E104" s="69"/>
      <c r="F104" s="69"/>
      <c r="G104" s="61"/>
      <c r="I104" s="69"/>
      <c r="J104" s="70"/>
      <c r="K104" s="69"/>
      <c r="L104" s="69"/>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row>
    <row r="105" spans="1:105" s="36" customFormat="1" x14ac:dyDescent="0.2">
      <c r="A105" s="32"/>
      <c r="B105" s="69"/>
      <c r="C105" s="70"/>
      <c r="D105" s="69"/>
      <c r="E105" s="69"/>
      <c r="F105" s="69"/>
      <c r="G105" s="61"/>
      <c r="I105" s="69"/>
      <c r="J105" s="70"/>
      <c r="K105" s="69"/>
      <c r="L105" s="69"/>
      <c r="M105" s="38"/>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row>
    <row r="106" spans="1:105" s="36" customFormat="1" x14ac:dyDescent="0.2">
      <c r="A106" s="32"/>
      <c r="B106" s="69"/>
      <c r="C106" s="70"/>
      <c r="D106" s="69"/>
      <c r="E106" s="69"/>
      <c r="F106" s="69"/>
      <c r="G106" s="61"/>
      <c r="I106" s="69"/>
      <c r="J106" s="70"/>
      <c r="K106" s="69"/>
      <c r="L106" s="69"/>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row>
    <row r="107" spans="1:105" s="36" customFormat="1" x14ac:dyDescent="0.2">
      <c r="A107" s="32"/>
      <c r="B107" s="69"/>
      <c r="C107" s="70"/>
      <c r="D107" s="69"/>
      <c r="E107" s="69"/>
      <c r="F107" s="69"/>
      <c r="G107" s="61"/>
      <c r="I107" s="69"/>
      <c r="J107" s="70"/>
      <c r="K107" s="69"/>
      <c r="L107" s="69"/>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row>
    <row r="108" spans="1:105" s="36" customFormat="1" x14ac:dyDescent="0.2">
      <c r="A108" s="32"/>
      <c r="B108" s="69"/>
      <c r="C108" s="70"/>
      <c r="D108" s="69"/>
      <c r="E108" s="69"/>
      <c r="F108" s="69"/>
      <c r="G108" s="61"/>
      <c r="I108" s="69"/>
      <c r="J108" s="70"/>
      <c r="K108" s="69"/>
      <c r="L108" s="69"/>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row>
    <row r="109" spans="1:105" s="36" customFormat="1" x14ac:dyDescent="0.2">
      <c r="A109" s="32"/>
      <c r="B109" s="69"/>
      <c r="C109" s="70"/>
      <c r="D109" s="69"/>
      <c r="E109" s="69"/>
      <c r="F109" s="69"/>
      <c r="G109" s="61"/>
      <c r="I109" s="69"/>
      <c r="J109" s="70"/>
      <c r="K109" s="69"/>
      <c r="L109" s="69"/>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row>
    <row r="110" spans="1:105" s="36" customFormat="1" x14ac:dyDescent="0.2">
      <c r="A110" s="32"/>
      <c r="B110" s="69"/>
      <c r="C110" s="70"/>
      <c r="D110" s="69"/>
      <c r="E110" s="69"/>
      <c r="F110" s="69"/>
      <c r="G110" s="61"/>
      <c r="I110" s="69"/>
      <c r="J110" s="70"/>
      <c r="K110" s="69"/>
      <c r="L110" s="69"/>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row>
    <row r="111" spans="1:105" s="36" customFormat="1" x14ac:dyDescent="0.2">
      <c r="A111" s="32"/>
      <c r="B111" s="69"/>
      <c r="C111" s="70"/>
      <c r="D111" s="69"/>
      <c r="E111" s="69"/>
      <c r="F111" s="69"/>
      <c r="G111" s="61"/>
      <c r="I111" s="69"/>
      <c r="J111" s="70"/>
      <c r="K111" s="69"/>
      <c r="L111" s="69"/>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row>
    <row r="112" spans="1:105" s="36" customFormat="1" x14ac:dyDescent="0.2">
      <c r="A112" s="32"/>
      <c r="B112" s="69"/>
      <c r="C112" s="70"/>
      <c r="D112" s="69"/>
      <c r="E112" s="69"/>
      <c r="F112" s="69"/>
      <c r="G112" s="61"/>
      <c r="I112" s="69"/>
      <c r="J112" s="70"/>
      <c r="K112" s="69"/>
      <c r="L112" s="69"/>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row>
    <row r="113" spans="1:105" s="36" customFormat="1" x14ac:dyDescent="0.2">
      <c r="A113" s="32"/>
      <c r="B113" s="69"/>
      <c r="C113" s="70"/>
      <c r="D113" s="69"/>
      <c r="E113" s="69"/>
      <c r="F113" s="69"/>
      <c r="G113" s="61"/>
      <c r="I113" s="69"/>
      <c r="J113" s="70"/>
      <c r="K113" s="69"/>
      <c r="L113" s="69"/>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row>
    <row r="114" spans="1:105" s="36" customFormat="1" x14ac:dyDescent="0.2">
      <c r="A114" s="32"/>
      <c r="B114" s="69"/>
      <c r="C114" s="70"/>
      <c r="D114" s="69"/>
      <c r="E114" s="69"/>
      <c r="F114" s="69"/>
      <c r="G114" s="61"/>
      <c r="I114" s="69"/>
      <c r="J114" s="70"/>
      <c r="K114" s="69"/>
      <c r="L114" s="69"/>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row>
    <row r="115" spans="1:105" s="36" customFormat="1" x14ac:dyDescent="0.2">
      <c r="A115" s="32"/>
      <c r="B115" s="69"/>
      <c r="C115" s="70"/>
      <c r="D115" s="69"/>
      <c r="E115" s="69"/>
      <c r="F115" s="69"/>
      <c r="G115" s="61"/>
      <c r="I115" s="69"/>
      <c r="J115" s="70"/>
      <c r="K115" s="69"/>
      <c r="L115" s="69"/>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row>
    <row r="116" spans="1:105" s="36" customFormat="1" x14ac:dyDescent="0.2">
      <c r="A116" s="32"/>
      <c r="B116" s="69"/>
      <c r="C116" s="70"/>
      <c r="D116" s="69"/>
      <c r="E116" s="69"/>
      <c r="F116" s="69"/>
      <c r="G116" s="61"/>
      <c r="I116" s="69"/>
      <c r="J116" s="70"/>
      <c r="K116" s="69"/>
      <c r="L116" s="69"/>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row>
    <row r="117" spans="1:105" s="36" customFormat="1" x14ac:dyDescent="0.2">
      <c r="A117" s="32"/>
      <c r="B117" s="69"/>
      <c r="C117" s="70"/>
      <c r="D117" s="69"/>
      <c r="E117" s="69"/>
      <c r="F117" s="69"/>
      <c r="G117" s="61"/>
      <c r="I117" s="69"/>
      <c r="J117" s="70"/>
      <c r="K117" s="69"/>
      <c r="L117" s="69"/>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row>
    <row r="118" spans="1:105" s="36" customFormat="1" x14ac:dyDescent="0.2">
      <c r="A118" s="32"/>
      <c r="B118" s="69"/>
      <c r="C118" s="70"/>
      <c r="D118" s="69"/>
      <c r="E118" s="69"/>
      <c r="F118" s="69"/>
      <c r="G118" s="61"/>
      <c r="I118" s="69"/>
      <c r="J118" s="70"/>
      <c r="K118" s="69"/>
      <c r="L118" s="69"/>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row>
    <row r="119" spans="1:105" s="36" customFormat="1" x14ac:dyDescent="0.2">
      <c r="A119" s="32"/>
      <c r="B119" s="69"/>
      <c r="C119" s="70"/>
      <c r="D119" s="69"/>
      <c r="E119" s="69"/>
      <c r="F119" s="69"/>
      <c r="G119" s="61"/>
      <c r="I119" s="69"/>
      <c r="J119" s="70"/>
      <c r="K119" s="69"/>
      <c r="L119" s="69"/>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row>
  </sheetData>
  <mergeCells count="2">
    <mergeCell ref="B2:M2"/>
    <mergeCell ref="B89:K89"/>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42"/>
  <sheetViews>
    <sheetView topLeftCell="I1" zoomScale="80" zoomScaleNormal="80" workbookViewId="0">
      <selection activeCell="N18" sqref="N18:AC18"/>
    </sheetView>
  </sheetViews>
  <sheetFormatPr baseColWidth="10" defaultColWidth="9.140625" defaultRowHeight="12.75" x14ac:dyDescent="0.2"/>
  <cols>
    <col min="1" max="1" width="13.42578125" hidden="1" customWidth="1"/>
    <col min="2" max="2" width="9.42578125" style="4" customWidth="1"/>
    <col min="3" max="3" width="18" style="3" customWidth="1"/>
    <col min="4" max="4" width="8.28515625" style="4" customWidth="1"/>
    <col min="5" max="5" width="9.140625" style="4"/>
    <col min="6" max="6" width="12.85546875" style="4" customWidth="1"/>
    <col min="7" max="7" width="10" style="4" customWidth="1"/>
    <col min="8" max="8" width="69.140625" style="2" customWidth="1"/>
    <col min="9" max="9" width="11.7109375" style="4" customWidth="1"/>
    <col min="10" max="10" width="16.28515625" style="3" customWidth="1"/>
    <col min="11" max="11" width="16" style="4" customWidth="1"/>
    <col min="12" max="12" width="11" style="4" customWidth="1"/>
    <col min="13" max="13" width="20.28515625" customWidth="1"/>
  </cols>
  <sheetData>
    <row r="1" spans="1:149" x14ac:dyDescent="0.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row>
    <row r="2" spans="1:149" ht="24" customHeight="1" x14ac:dyDescent="0.2">
      <c r="B2" s="185" t="s">
        <v>1103</v>
      </c>
      <c r="C2" s="185"/>
      <c r="D2" s="185"/>
      <c r="E2" s="185"/>
      <c r="F2" s="185"/>
      <c r="G2" s="185"/>
      <c r="H2" s="185"/>
      <c r="I2" s="185"/>
      <c r="J2" s="185"/>
      <c r="K2" s="185"/>
      <c r="L2" s="185"/>
      <c r="M2" s="185"/>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row>
    <row r="3" spans="1:149" x14ac:dyDescent="0.2">
      <c r="B3" s="69"/>
      <c r="C3" s="70"/>
      <c r="D3" s="69"/>
      <c r="E3" s="69"/>
      <c r="F3" s="69"/>
      <c r="G3" s="69"/>
      <c r="H3" s="36"/>
      <c r="I3" s="69"/>
      <c r="J3" s="70"/>
      <c r="K3" s="69"/>
      <c r="L3" s="69"/>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row>
    <row r="4" spans="1:149" s="7" customFormat="1" ht="38.25" x14ac:dyDescent="0.2">
      <c r="A4" s="7" t="s">
        <v>641</v>
      </c>
      <c r="B4" s="71" t="s">
        <v>1100</v>
      </c>
      <c r="C4" s="71" t="s">
        <v>1092</v>
      </c>
      <c r="D4" s="106" t="s">
        <v>1091</v>
      </c>
      <c r="E4" s="126" t="s">
        <v>1097</v>
      </c>
      <c r="F4" s="127" t="s">
        <v>1098</v>
      </c>
      <c r="G4" s="127" t="s">
        <v>1093</v>
      </c>
      <c r="H4" s="126" t="s">
        <v>409</v>
      </c>
      <c r="I4" s="126" t="s">
        <v>1094</v>
      </c>
      <c r="J4" s="126" t="s">
        <v>1095</v>
      </c>
      <c r="K4" s="126" t="s">
        <v>1104</v>
      </c>
      <c r="L4" s="126" t="s">
        <v>1096</v>
      </c>
      <c r="M4" s="126"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3"/>
      <c r="EK4" s="33"/>
      <c r="EL4" s="33"/>
      <c r="EM4" s="33"/>
      <c r="EN4" s="33"/>
      <c r="EO4" s="33"/>
      <c r="EP4" s="33"/>
      <c r="EQ4" s="33"/>
      <c r="ER4" s="33"/>
      <c r="ES4" s="33"/>
    </row>
    <row r="5" spans="1:149" x14ac:dyDescent="0.2">
      <c r="B5" s="69"/>
      <c r="C5" s="70"/>
      <c r="D5" s="69"/>
      <c r="E5" s="128"/>
      <c r="F5" s="128"/>
      <c r="G5" s="128"/>
      <c r="H5" s="129"/>
      <c r="I5" s="128"/>
      <c r="J5" s="130"/>
      <c r="K5" s="128"/>
      <c r="L5" s="128"/>
      <c r="M5" s="131"/>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row>
    <row r="6" spans="1:149" ht="15" x14ac:dyDescent="0.25">
      <c r="A6" s="1"/>
      <c r="B6" s="52"/>
      <c r="C6" s="53"/>
      <c r="D6" s="52"/>
      <c r="E6" s="132"/>
      <c r="F6" s="132"/>
      <c r="G6" s="133"/>
      <c r="H6" s="134"/>
      <c r="I6" s="135"/>
      <c r="J6" s="134"/>
      <c r="K6" s="135"/>
      <c r="L6" s="135"/>
      <c r="M6" s="136"/>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row>
    <row r="7" spans="1:149" ht="15.75" x14ac:dyDescent="0.2">
      <c r="A7" s="1">
        <v>0</v>
      </c>
      <c r="B7" s="52"/>
      <c r="C7" s="53"/>
      <c r="D7" s="52"/>
      <c r="E7" s="132"/>
      <c r="F7" s="132"/>
      <c r="G7" s="133"/>
      <c r="H7" s="137" t="s">
        <v>887</v>
      </c>
      <c r="I7" s="132"/>
      <c r="J7" s="138"/>
      <c r="K7" s="132"/>
      <c r="L7" s="132"/>
      <c r="M7" s="139"/>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row>
    <row r="8" spans="1:149" ht="15.75" x14ac:dyDescent="0.2">
      <c r="A8" s="1">
        <v>1</v>
      </c>
      <c r="B8" s="52"/>
      <c r="C8" s="53"/>
      <c r="D8" s="52"/>
      <c r="E8" s="132"/>
      <c r="F8" s="132"/>
      <c r="G8" s="133"/>
      <c r="H8" s="137" t="s">
        <v>680</v>
      </c>
      <c r="I8" s="132"/>
      <c r="J8" s="138"/>
      <c r="K8" s="132"/>
      <c r="L8" s="132"/>
      <c r="M8" s="139"/>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row>
    <row r="9" spans="1:149" x14ac:dyDescent="0.2">
      <c r="A9" s="1">
        <v>2</v>
      </c>
      <c r="B9" s="52"/>
      <c r="C9" s="53"/>
      <c r="D9" s="52"/>
      <c r="E9" s="132"/>
      <c r="F9" s="132"/>
      <c r="G9" s="133"/>
      <c r="H9" s="140"/>
      <c r="I9" s="132"/>
      <c r="J9" s="138"/>
      <c r="K9" s="132"/>
      <c r="L9" s="132"/>
      <c r="M9" s="139"/>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row>
    <row r="10" spans="1:149" ht="25.5" x14ac:dyDescent="0.2">
      <c r="A10" s="1">
        <v>3</v>
      </c>
      <c r="B10" s="52" t="s">
        <v>841</v>
      </c>
      <c r="C10" s="53"/>
      <c r="D10" s="52"/>
      <c r="E10" s="132"/>
      <c r="F10" s="132"/>
      <c r="G10" s="133"/>
      <c r="H10" s="141" t="s">
        <v>165</v>
      </c>
      <c r="I10" s="132"/>
      <c r="J10" s="138"/>
      <c r="K10" s="132"/>
      <c r="L10" s="132"/>
      <c r="M10" s="142">
        <f>+M11</f>
        <v>230000000</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row>
    <row r="11" spans="1:149" x14ac:dyDescent="0.2">
      <c r="A11" s="1">
        <v>4</v>
      </c>
      <c r="B11" s="52" t="s">
        <v>497</v>
      </c>
      <c r="C11" s="53"/>
      <c r="D11" s="52"/>
      <c r="E11" s="132"/>
      <c r="F11" s="132"/>
      <c r="G11" s="133"/>
      <c r="H11" s="141" t="s">
        <v>355</v>
      </c>
      <c r="I11" s="132"/>
      <c r="J11" s="138"/>
      <c r="K11" s="132"/>
      <c r="L11" s="132"/>
      <c r="M11" s="142">
        <f>+M14+M18</f>
        <v>230000000</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row>
    <row r="12" spans="1:149" x14ac:dyDescent="0.2">
      <c r="A12" s="1">
        <v>5</v>
      </c>
      <c r="B12" s="52"/>
      <c r="C12" s="53"/>
      <c r="D12" s="52"/>
      <c r="E12" s="143">
        <v>612</v>
      </c>
      <c r="F12" s="132" t="s">
        <v>268</v>
      </c>
      <c r="G12" s="133"/>
      <c r="H12" s="140" t="s">
        <v>100</v>
      </c>
      <c r="I12" s="143">
        <v>2</v>
      </c>
      <c r="J12" s="138" t="s">
        <v>1001</v>
      </c>
      <c r="K12" s="143"/>
      <c r="L12" s="132"/>
      <c r="M12" s="139"/>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row>
    <row r="13" spans="1:149" ht="25.5" x14ac:dyDescent="0.2">
      <c r="A13" s="1">
        <v>5</v>
      </c>
      <c r="B13" s="52"/>
      <c r="C13" s="53"/>
      <c r="D13" s="52"/>
      <c r="E13" s="143">
        <v>613</v>
      </c>
      <c r="F13" s="132" t="s">
        <v>268</v>
      </c>
      <c r="G13" s="133"/>
      <c r="H13" s="140" t="s">
        <v>613</v>
      </c>
      <c r="I13" s="143">
        <v>15</v>
      </c>
      <c r="J13" s="138" t="s">
        <v>440</v>
      </c>
      <c r="K13" s="143"/>
      <c r="L13" s="132"/>
      <c r="M13" s="139"/>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row>
    <row r="14" spans="1:149" x14ac:dyDescent="0.2">
      <c r="A14" s="1">
        <v>6</v>
      </c>
      <c r="B14" s="52" t="s">
        <v>857</v>
      </c>
      <c r="C14" s="53"/>
      <c r="D14" s="52"/>
      <c r="E14" s="132"/>
      <c r="F14" s="132"/>
      <c r="G14" s="133"/>
      <c r="H14" s="141" t="s">
        <v>463</v>
      </c>
      <c r="I14" s="132"/>
      <c r="J14" s="138"/>
      <c r="K14" s="132"/>
      <c r="L14" s="132"/>
      <c r="M14" s="142">
        <f>+M16</f>
        <v>200000000</v>
      </c>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row>
    <row r="15" spans="1:149" ht="25.5" x14ac:dyDescent="0.2">
      <c r="A15" s="1">
        <v>7</v>
      </c>
      <c r="B15" s="52"/>
      <c r="C15" s="53"/>
      <c r="D15" s="52" t="s">
        <v>227</v>
      </c>
      <c r="E15" s="143">
        <v>519</v>
      </c>
      <c r="F15" s="132" t="s">
        <v>1080</v>
      </c>
      <c r="G15" s="133"/>
      <c r="H15" s="140" t="s">
        <v>1050</v>
      </c>
      <c r="I15" s="143">
        <v>1</v>
      </c>
      <c r="J15" s="138" t="s">
        <v>358</v>
      </c>
      <c r="K15" s="132">
        <v>0.56000000000000005</v>
      </c>
      <c r="L15" s="132" t="s">
        <v>301</v>
      </c>
      <c r="M15" s="139"/>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row>
    <row r="16" spans="1:149" ht="25.5" x14ac:dyDescent="0.2">
      <c r="A16" s="1">
        <v>8</v>
      </c>
      <c r="B16" s="52"/>
      <c r="C16" s="53" t="s">
        <v>10</v>
      </c>
      <c r="D16" s="52"/>
      <c r="E16" s="132"/>
      <c r="F16" s="132"/>
      <c r="G16" s="61">
        <v>295960</v>
      </c>
      <c r="H16" s="140" t="s">
        <v>823</v>
      </c>
      <c r="I16" s="132"/>
      <c r="J16" s="138"/>
      <c r="K16" s="132"/>
      <c r="L16" s="132"/>
      <c r="M16" s="144">
        <f>+M17</f>
        <v>200000000</v>
      </c>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row>
    <row r="17" spans="1:149" x14ac:dyDescent="0.2">
      <c r="A17" s="1">
        <v>9</v>
      </c>
      <c r="B17" s="52"/>
      <c r="C17" s="53"/>
      <c r="D17" s="52"/>
      <c r="E17" s="132"/>
      <c r="F17" s="132"/>
      <c r="G17" s="61"/>
      <c r="H17" s="140" t="s">
        <v>835</v>
      </c>
      <c r="I17" s="132"/>
      <c r="J17" s="138"/>
      <c r="K17" s="132"/>
      <c r="L17" s="132"/>
      <c r="M17" s="144">
        <v>200000000</v>
      </c>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row>
    <row r="18" spans="1:149" x14ac:dyDescent="0.2">
      <c r="A18" s="1">
        <v>6</v>
      </c>
      <c r="B18" s="52" t="s">
        <v>497</v>
      </c>
      <c r="C18" s="53"/>
      <c r="D18" s="52"/>
      <c r="E18" s="132"/>
      <c r="F18" s="132"/>
      <c r="G18" s="61"/>
      <c r="H18" s="141" t="s">
        <v>106</v>
      </c>
      <c r="I18" s="132"/>
      <c r="J18" s="138"/>
      <c r="K18" s="132"/>
      <c r="L18" s="132"/>
      <c r="M18" s="142">
        <f>+M20</f>
        <v>30000000</v>
      </c>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row>
    <row r="19" spans="1:149" ht="25.5" x14ac:dyDescent="0.2">
      <c r="A19" s="1">
        <v>7</v>
      </c>
      <c r="B19" s="52"/>
      <c r="C19" s="53"/>
      <c r="D19" s="52" t="s">
        <v>597</v>
      </c>
      <c r="E19" s="143">
        <v>530</v>
      </c>
      <c r="F19" s="132" t="s">
        <v>1080</v>
      </c>
      <c r="G19" s="61"/>
      <c r="H19" s="140" t="s">
        <v>152</v>
      </c>
      <c r="I19" s="143">
        <v>40</v>
      </c>
      <c r="J19" s="138" t="s">
        <v>440</v>
      </c>
      <c r="K19" s="132" t="s">
        <v>1231</v>
      </c>
      <c r="L19" s="132" t="s">
        <v>1230</v>
      </c>
      <c r="M19" s="139"/>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row>
    <row r="20" spans="1:149" ht="38.25" x14ac:dyDescent="0.2">
      <c r="A20" s="1">
        <v>8</v>
      </c>
      <c r="B20" s="52"/>
      <c r="C20" s="53" t="s">
        <v>10</v>
      </c>
      <c r="D20" s="52"/>
      <c r="E20" s="132"/>
      <c r="F20" s="132"/>
      <c r="G20" s="61">
        <v>296004</v>
      </c>
      <c r="H20" s="140" t="s">
        <v>877</v>
      </c>
      <c r="I20" s="132"/>
      <c r="J20" s="138"/>
      <c r="K20" s="132"/>
      <c r="L20" s="132"/>
      <c r="M20" s="144">
        <f>+M21</f>
        <v>30000000</v>
      </c>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row>
    <row r="21" spans="1:149" x14ac:dyDescent="0.2">
      <c r="A21" s="1">
        <v>9</v>
      </c>
      <c r="B21" s="52"/>
      <c r="C21" s="53"/>
      <c r="D21" s="52"/>
      <c r="E21" s="132"/>
      <c r="F21" s="132"/>
      <c r="G21" s="133"/>
      <c r="H21" s="140" t="s">
        <v>835</v>
      </c>
      <c r="I21" s="132"/>
      <c r="J21" s="138"/>
      <c r="K21" s="132"/>
      <c r="L21" s="132"/>
      <c r="M21" s="144">
        <v>30000000</v>
      </c>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row>
    <row r="22" spans="1:149" x14ac:dyDescent="0.2">
      <c r="A22" s="1"/>
      <c r="B22" s="52"/>
      <c r="C22" s="53"/>
      <c r="D22" s="52"/>
      <c r="E22" s="132"/>
      <c r="F22" s="132"/>
      <c r="G22" s="133"/>
      <c r="H22" s="140"/>
      <c r="I22" s="132"/>
      <c r="J22" s="138"/>
      <c r="K22" s="132"/>
      <c r="L22" s="132"/>
      <c r="M22" s="144"/>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row>
    <row r="23" spans="1:149" x14ac:dyDescent="0.2">
      <c r="A23" s="1"/>
      <c r="B23" s="52"/>
      <c r="C23" s="53"/>
      <c r="D23" s="52"/>
      <c r="E23" s="132"/>
      <c r="F23" s="132"/>
      <c r="G23" s="133"/>
      <c r="H23" s="140"/>
      <c r="I23" s="132"/>
      <c r="J23" s="138"/>
      <c r="K23" s="132"/>
      <c r="L23" s="132"/>
      <c r="M23" s="144"/>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row>
    <row r="24" spans="1:149" ht="15" x14ac:dyDescent="0.25">
      <c r="A24" s="1">
        <v>10</v>
      </c>
      <c r="B24" s="52"/>
      <c r="C24" s="53"/>
      <c r="D24" s="52"/>
      <c r="E24" s="132"/>
      <c r="F24" s="132"/>
      <c r="G24" s="133"/>
      <c r="H24" s="145" t="s">
        <v>954</v>
      </c>
      <c r="I24" s="135"/>
      <c r="J24" s="134"/>
      <c r="K24" s="135"/>
      <c r="L24" s="135"/>
      <c r="M24" s="136">
        <f>+M10</f>
        <v>230000000</v>
      </c>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row>
    <row r="25" spans="1:149" ht="15" x14ac:dyDescent="0.25">
      <c r="A25" s="1"/>
      <c r="B25" s="52"/>
      <c r="C25" s="53"/>
      <c r="D25" s="52"/>
      <c r="E25" s="52"/>
      <c r="F25" s="52"/>
      <c r="G25" s="61"/>
      <c r="H25" s="63"/>
      <c r="I25" s="59"/>
      <c r="J25" s="58"/>
      <c r="K25" s="59"/>
      <c r="L25" s="59"/>
      <c r="M25" s="64"/>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row>
    <row r="26" spans="1:149" x14ac:dyDescent="0.2">
      <c r="B26" s="69"/>
      <c r="C26" s="70"/>
      <c r="D26" s="69"/>
      <c r="E26" s="69"/>
      <c r="F26" s="69"/>
      <c r="G26" s="69"/>
      <c r="H26" s="36"/>
      <c r="I26" s="69"/>
      <c r="J26" s="70"/>
      <c r="K26" s="69"/>
      <c r="L26" s="69"/>
      <c r="M26" s="32"/>
    </row>
    <row r="27" spans="1:149" x14ac:dyDescent="0.2">
      <c r="B27" s="188"/>
      <c r="C27" s="188"/>
      <c r="D27" s="188"/>
      <c r="E27" s="188"/>
      <c r="F27" s="188"/>
      <c r="G27" s="188"/>
      <c r="H27" s="188"/>
      <c r="I27" s="188"/>
      <c r="J27" s="188"/>
      <c r="K27" s="188"/>
      <c r="L27" s="69"/>
      <c r="M27" s="32"/>
    </row>
    <row r="28" spans="1:149" x14ac:dyDescent="0.2">
      <c r="B28" s="69"/>
      <c r="C28" s="73"/>
      <c r="D28" s="69"/>
      <c r="E28" s="69"/>
      <c r="F28" s="69"/>
      <c r="G28" s="69"/>
      <c r="H28" s="36"/>
      <c r="I28" s="69"/>
      <c r="J28" s="70"/>
      <c r="K28" s="69"/>
      <c r="L28" s="69"/>
      <c r="M28" s="32"/>
    </row>
    <row r="29" spans="1:149" x14ac:dyDescent="0.2">
      <c r="B29" s="69"/>
      <c r="C29" s="73"/>
      <c r="D29" s="69"/>
      <c r="E29" s="69"/>
      <c r="F29" s="69"/>
      <c r="G29" s="69"/>
      <c r="H29" s="36"/>
      <c r="I29" s="69"/>
      <c r="J29" s="70"/>
      <c r="K29" s="69"/>
      <c r="L29" s="69"/>
      <c r="M29" s="32"/>
    </row>
    <row r="30" spans="1:149" x14ac:dyDescent="0.2">
      <c r="B30" s="69"/>
      <c r="C30" s="73"/>
      <c r="D30" s="69"/>
      <c r="E30" s="69"/>
      <c r="F30" s="69"/>
      <c r="G30" s="69"/>
      <c r="H30" s="36"/>
      <c r="I30" s="69"/>
      <c r="J30" s="70"/>
      <c r="K30" s="69"/>
      <c r="L30" s="69"/>
      <c r="M30" s="32"/>
    </row>
    <row r="31" spans="1:149" x14ac:dyDescent="0.2">
      <c r="B31" s="69"/>
      <c r="C31" s="73"/>
      <c r="D31" s="69"/>
      <c r="E31" s="69"/>
      <c r="F31" s="69"/>
      <c r="G31" s="69"/>
      <c r="H31" s="36"/>
      <c r="I31" s="69"/>
      <c r="J31" s="70"/>
      <c r="K31" s="69"/>
      <c r="L31" s="69"/>
      <c r="M31" s="32"/>
    </row>
    <row r="32" spans="1:149" x14ac:dyDescent="0.2">
      <c r="B32" s="69"/>
      <c r="C32" s="73"/>
      <c r="D32" s="69"/>
      <c r="E32" s="69"/>
      <c r="F32" s="69"/>
      <c r="G32" s="69"/>
      <c r="H32" s="36"/>
      <c r="I32" s="69"/>
      <c r="J32" s="70"/>
      <c r="K32" s="69"/>
      <c r="L32" s="69"/>
      <c r="M32" s="32"/>
    </row>
    <row r="33" spans="2:13" x14ac:dyDescent="0.2">
      <c r="B33" s="69"/>
      <c r="C33" s="73"/>
      <c r="D33" s="69"/>
      <c r="E33" s="69"/>
      <c r="F33" s="69"/>
      <c r="G33" s="69"/>
      <c r="H33" s="95"/>
      <c r="I33" s="69"/>
      <c r="J33" s="70"/>
      <c r="K33" s="69"/>
      <c r="L33" s="69"/>
      <c r="M33" s="32"/>
    </row>
    <row r="34" spans="2:13" x14ac:dyDescent="0.2">
      <c r="B34" s="69"/>
      <c r="C34" s="73"/>
      <c r="D34" s="69"/>
      <c r="E34" s="69"/>
      <c r="F34" s="69"/>
      <c r="G34" s="69"/>
      <c r="H34" s="36"/>
      <c r="I34" s="69"/>
      <c r="J34" s="70"/>
      <c r="K34" s="69"/>
      <c r="L34" s="69"/>
      <c r="M34" s="32"/>
    </row>
    <row r="35" spans="2:13" x14ac:dyDescent="0.2">
      <c r="B35" s="69"/>
      <c r="C35" s="73"/>
      <c r="D35" s="69"/>
      <c r="E35" s="69"/>
      <c r="F35" s="69"/>
      <c r="G35" s="69"/>
      <c r="H35" s="36"/>
      <c r="I35" s="69"/>
      <c r="J35" s="70"/>
      <c r="K35" s="69"/>
      <c r="L35" s="69"/>
      <c r="M35" s="32"/>
    </row>
    <row r="36" spans="2:13" x14ac:dyDescent="0.2">
      <c r="C36" s="73"/>
    </row>
    <row r="37" spans="2:13" x14ac:dyDescent="0.2">
      <c r="C37" s="73"/>
    </row>
    <row r="38" spans="2:13" x14ac:dyDescent="0.2">
      <c r="C38" s="73"/>
    </row>
    <row r="39" spans="2:13" x14ac:dyDescent="0.2">
      <c r="M39" s="6"/>
    </row>
    <row r="42" spans="2:13" x14ac:dyDescent="0.2">
      <c r="H42" s="72"/>
      <c r="I42" s="96"/>
      <c r="J42" s="10"/>
      <c r="K42" s="96"/>
      <c r="L42" s="96"/>
      <c r="M42" s="7"/>
    </row>
  </sheetData>
  <mergeCells count="2">
    <mergeCell ref="B2:M2"/>
    <mergeCell ref="B27:K27"/>
  </mergeCells>
  <pageMargins left="0.74803149606299213" right="0.74803149606299213" top="0.98425196850393704" bottom="0.98425196850393704" header="0.51181102362204722" footer="0.51181102362204722"/>
  <pageSetup paperSize="5"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Z43"/>
  <sheetViews>
    <sheetView topLeftCell="M35" zoomScale="80" zoomScaleNormal="80" workbookViewId="0">
      <selection activeCell="N42" sqref="N42:AL42"/>
    </sheetView>
  </sheetViews>
  <sheetFormatPr baseColWidth="10" defaultColWidth="9.140625" defaultRowHeight="12.75" x14ac:dyDescent="0.2"/>
  <cols>
    <col min="1" max="1" width="13.42578125" style="32" hidden="1" customWidth="1"/>
    <col min="2" max="2" width="9.42578125" style="69" customWidth="1"/>
    <col min="3" max="3" width="18" style="70" customWidth="1"/>
    <col min="4" max="4" width="8.28515625" style="69" customWidth="1"/>
    <col min="5" max="5" width="9.140625" style="69"/>
    <col min="6" max="6" width="12.85546875" style="69" customWidth="1"/>
    <col min="7" max="7" width="8.5703125" style="69" customWidth="1"/>
    <col min="8" max="8" width="64"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2" spans="1:130" ht="24" customHeight="1" x14ac:dyDescent="0.2">
      <c r="B2" s="187" t="s">
        <v>1103</v>
      </c>
      <c r="C2" s="187"/>
      <c r="D2" s="187"/>
      <c r="E2" s="187"/>
      <c r="F2" s="187"/>
      <c r="G2" s="187"/>
      <c r="H2" s="187"/>
      <c r="I2" s="187"/>
      <c r="J2" s="187"/>
      <c r="K2" s="187"/>
      <c r="L2" s="187"/>
      <c r="M2" s="187"/>
    </row>
    <row r="4" spans="1:130" s="33" customFormat="1" ht="51.75" customHeight="1" x14ac:dyDescent="0.2">
      <c r="A4" s="33" t="s">
        <v>641</v>
      </c>
      <c r="B4" s="71" t="s">
        <v>1100</v>
      </c>
      <c r="C4" s="71" t="s">
        <v>1092</v>
      </c>
      <c r="D4" s="35" t="s">
        <v>1091</v>
      </c>
      <c r="E4" s="126" t="s">
        <v>1097</v>
      </c>
      <c r="F4" s="127" t="s">
        <v>1098</v>
      </c>
      <c r="G4" s="127" t="s">
        <v>1093</v>
      </c>
      <c r="H4" s="126" t="s">
        <v>409</v>
      </c>
      <c r="I4" s="126" t="s">
        <v>1094</v>
      </c>
      <c r="J4" s="126" t="s">
        <v>1095</v>
      </c>
      <c r="K4" s="126" t="s">
        <v>1104</v>
      </c>
      <c r="L4" s="126" t="s">
        <v>1096</v>
      </c>
      <c r="M4" s="126"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row>
    <row r="5" spans="1:130" x14ac:dyDescent="0.2">
      <c r="E5" s="128"/>
      <c r="F5" s="128"/>
      <c r="G5" s="128"/>
      <c r="H5" s="129"/>
      <c r="I5" s="128"/>
      <c r="J5" s="130"/>
      <c r="K5" s="128"/>
      <c r="L5" s="128"/>
      <c r="M5" s="131"/>
    </row>
    <row r="6" spans="1:130" ht="15.75" x14ac:dyDescent="0.2">
      <c r="A6" s="37">
        <v>0</v>
      </c>
      <c r="B6" s="52"/>
      <c r="C6" s="53"/>
      <c r="D6" s="52"/>
      <c r="E6" s="132"/>
      <c r="F6" s="132"/>
      <c r="G6" s="133"/>
      <c r="H6" s="137" t="s">
        <v>453</v>
      </c>
      <c r="I6" s="132"/>
      <c r="J6" s="138"/>
      <c r="K6" s="132"/>
      <c r="L6" s="132"/>
      <c r="M6" s="139"/>
    </row>
    <row r="7" spans="1:130" ht="15.75" x14ac:dyDescent="0.2">
      <c r="A7" s="37">
        <v>1</v>
      </c>
      <c r="B7" s="52"/>
      <c r="C7" s="53"/>
      <c r="D7" s="52"/>
      <c r="E7" s="132"/>
      <c r="F7" s="132"/>
      <c r="G7" s="133"/>
      <c r="H7" s="137" t="s">
        <v>1106</v>
      </c>
      <c r="I7" s="132"/>
      <c r="J7" s="138"/>
      <c r="K7" s="132"/>
      <c r="L7" s="132"/>
      <c r="M7" s="139"/>
    </row>
    <row r="8" spans="1:130" x14ac:dyDescent="0.2">
      <c r="A8" s="37">
        <v>2</v>
      </c>
      <c r="B8" s="52"/>
      <c r="C8" s="53"/>
      <c r="D8" s="52"/>
      <c r="E8" s="132"/>
      <c r="F8" s="132"/>
      <c r="G8" s="133"/>
      <c r="H8" s="140"/>
      <c r="I8" s="132"/>
      <c r="J8" s="138"/>
      <c r="K8" s="132"/>
      <c r="L8" s="132"/>
      <c r="M8" s="139"/>
    </row>
    <row r="9" spans="1:130" x14ac:dyDescent="0.2">
      <c r="A9" s="37">
        <v>3</v>
      </c>
      <c r="B9" s="52" t="s">
        <v>1025</v>
      </c>
      <c r="C9" s="53"/>
      <c r="D9" s="52"/>
      <c r="E9" s="132"/>
      <c r="F9" s="132"/>
      <c r="G9" s="133"/>
      <c r="H9" s="141" t="s">
        <v>912</v>
      </c>
      <c r="I9" s="132"/>
      <c r="J9" s="138"/>
      <c r="K9" s="132"/>
      <c r="L9" s="132"/>
      <c r="M9" s="142">
        <f>+M10+M16</f>
        <v>828000000</v>
      </c>
    </row>
    <row r="10" spans="1:130" x14ac:dyDescent="0.2">
      <c r="A10" s="37">
        <v>4</v>
      </c>
      <c r="B10" s="52" t="s">
        <v>857</v>
      </c>
      <c r="C10" s="53"/>
      <c r="D10" s="52"/>
      <c r="E10" s="132"/>
      <c r="F10" s="132"/>
      <c r="G10" s="133"/>
      <c r="H10" s="141" t="s">
        <v>484</v>
      </c>
      <c r="I10" s="132"/>
      <c r="J10" s="138"/>
      <c r="K10" s="132"/>
      <c r="L10" s="132"/>
      <c r="M10" s="142">
        <f>+M12</f>
        <v>400000000</v>
      </c>
    </row>
    <row r="11" spans="1:130" ht="60" customHeight="1" x14ac:dyDescent="0.2">
      <c r="A11" s="37">
        <v>5</v>
      </c>
      <c r="B11" s="52"/>
      <c r="C11" s="53"/>
      <c r="D11" s="52"/>
      <c r="E11" s="143">
        <v>327</v>
      </c>
      <c r="F11" s="132" t="s">
        <v>268</v>
      </c>
      <c r="G11" s="133"/>
      <c r="H11" s="140" t="s">
        <v>829</v>
      </c>
      <c r="I11" s="143">
        <v>4</v>
      </c>
      <c r="J11" s="138" t="s">
        <v>1002</v>
      </c>
      <c r="K11" s="143"/>
      <c r="L11" s="132"/>
      <c r="M11" s="139"/>
    </row>
    <row r="12" spans="1:130" x14ac:dyDescent="0.2">
      <c r="A12" s="37">
        <v>6</v>
      </c>
      <c r="B12" s="52" t="s">
        <v>857</v>
      </c>
      <c r="C12" s="53"/>
      <c r="D12" s="52"/>
      <c r="E12" s="132"/>
      <c r="F12" s="132"/>
      <c r="G12" s="133"/>
      <c r="H12" s="141" t="s">
        <v>815</v>
      </c>
      <c r="I12" s="132"/>
      <c r="J12" s="138"/>
      <c r="K12" s="132"/>
      <c r="L12" s="132"/>
      <c r="M12" s="142">
        <f>+M14</f>
        <v>400000000</v>
      </c>
    </row>
    <row r="13" spans="1:130" ht="38.25" x14ac:dyDescent="0.2">
      <c r="A13" s="37">
        <v>7</v>
      </c>
      <c r="B13" s="52"/>
      <c r="C13" s="53"/>
      <c r="D13" s="52" t="s">
        <v>884</v>
      </c>
      <c r="E13" s="143">
        <v>330</v>
      </c>
      <c r="F13" s="132" t="s">
        <v>1080</v>
      </c>
      <c r="G13" s="133"/>
      <c r="H13" s="140" t="s">
        <v>1033</v>
      </c>
      <c r="I13" s="143">
        <v>1</v>
      </c>
      <c r="J13" s="138" t="s">
        <v>37</v>
      </c>
      <c r="K13" s="132">
        <v>0.15</v>
      </c>
      <c r="L13" s="132" t="s">
        <v>1253</v>
      </c>
      <c r="M13" s="139"/>
    </row>
    <row r="14" spans="1:130" ht="38.25" x14ac:dyDescent="0.2">
      <c r="A14" s="37">
        <v>8</v>
      </c>
      <c r="B14" s="52"/>
      <c r="C14" s="53" t="s">
        <v>10</v>
      </c>
      <c r="D14" s="52"/>
      <c r="E14" s="132"/>
      <c r="F14" s="132"/>
      <c r="G14" s="133">
        <v>295985</v>
      </c>
      <c r="H14" s="140" t="s">
        <v>277</v>
      </c>
      <c r="I14" s="132"/>
      <c r="J14" s="138"/>
      <c r="K14" s="132"/>
      <c r="L14" s="132"/>
      <c r="M14" s="144">
        <f>+M15</f>
        <v>400000000</v>
      </c>
    </row>
    <row r="15" spans="1:130" x14ac:dyDescent="0.2">
      <c r="A15" s="37">
        <v>9</v>
      </c>
      <c r="B15" s="52"/>
      <c r="C15" s="53"/>
      <c r="D15" s="52"/>
      <c r="E15" s="132"/>
      <c r="F15" s="132"/>
      <c r="G15" s="133"/>
      <c r="H15" s="140" t="s">
        <v>835</v>
      </c>
      <c r="I15" s="132"/>
      <c r="J15" s="138"/>
      <c r="K15" s="132"/>
      <c r="L15" s="132"/>
      <c r="M15" s="144">
        <f>506000000-106000000</f>
        <v>400000000</v>
      </c>
    </row>
    <row r="16" spans="1:130" ht="25.5" x14ac:dyDescent="0.2">
      <c r="A16" s="37">
        <v>4</v>
      </c>
      <c r="B16" s="52" t="s">
        <v>1069</v>
      </c>
      <c r="C16" s="53"/>
      <c r="D16" s="52"/>
      <c r="E16" s="132"/>
      <c r="F16" s="132"/>
      <c r="G16" s="133"/>
      <c r="H16" s="141" t="s">
        <v>1032</v>
      </c>
      <c r="I16" s="132"/>
      <c r="J16" s="138"/>
      <c r="K16" s="132"/>
      <c r="L16" s="132"/>
      <c r="M16" s="142">
        <f>+M18</f>
        <v>428000000</v>
      </c>
    </row>
    <row r="17" spans="1:13" ht="25.5" x14ac:dyDescent="0.2">
      <c r="A17" s="37">
        <v>5</v>
      </c>
      <c r="B17" s="52"/>
      <c r="C17" s="53"/>
      <c r="D17" s="52"/>
      <c r="E17" s="143">
        <v>398</v>
      </c>
      <c r="F17" s="132" t="s">
        <v>268</v>
      </c>
      <c r="G17" s="133"/>
      <c r="H17" s="140" t="s">
        <v>697</v>
      </c>
      <c r="I17" s="143">
        <v>10</v>
      </c>
      <c r="J17" s="138" t="s">
        <v>440</v>
      </c>
      <c r="K17" s="143"/>
      <c r="L17" s="132"/>
      <c r="M17" s="139"/>
    </row>
    <row r="18" spans="1:13" ht="25.5" x14ac:dyDescent="0.2">
      <c r="A18" s="37">
        <v>6</v>
      </c>
      <c r="B18" s="52" t="s">
        <v>497</v>
      </c>
      <c r="C18" s="53"/>
      <c r="D18" s="52"/>
      <c r="E18" s="132"/>
      <c r="F18" s="132"/>
      <c r="G18" s="133"/>
      <c r="H18" s="141" t="s">
        <v>715</v>
      </c>
      <c r="I18" s="132"/>
      <c r="J18" s="138"/>
      <c r="K18" s="132"/>
      <c r="L18" s="132"/>
      <c r="M18" s="142">
        <f>+M21</f>
        <v>428000000</v>
      </c>
    </row>
    <row r="19" spans="1:13" ht="25.5" x14ac:dyDescent="0.2">
      <c r="A19" s="37">
        <v>7</v>
      </c>
      <c r="B19" s="52"/>
      <c r="C19" s="53"/>
      <c r="D19" s="52" t="s">
        <v>1086</v>
      </c>
      <c r="E19" s="143">
        <v>409</v>
      </c>
      <c r="F19" s="132" t="s">
        <v>1080</v>
      </c>
      <c r="G19" s="133"/>
      <c r="H19" s="140" t="s">
        <v>556</v>
      </c>
      <c r="I19" s="143">
        <v>2</v>
      </c>
      <c r="J19" s="138" t="s">
        <v>195</v>
      </c>
      <c r="K19" s="132">
        <v>0.25</v>
      </c>
      <c r="L19" s="132" t="s">
        <v>301</v>
      </c>
      <c r="M19" s="139"/>
    </row>
    <row r="20" spans="1:13" ht="38.25" x14ac:dyDescent="0.2">
      <c r="A20" s="37">
        <v>7</v>
      </c>
      <c r="B20" s="52"/>
      <c r="C20" s="53"/>
      <c r="D20" s="52" t="s">
        <v>284</v>
      </c>
      <c r="E20" s="143">
        <v>410</v>
      </c>
      <c r="F20" s="132" t="s">
        <v>1080</v>
      </c>
      <c r="G20" s="133"/>
      <c r="H20" s="140" t="s">
        <v>47</v>
      </c>
      <c r="I20" s="143">
        <v>1</v>
      </c>
      <c r="J20" s="138" t="s">
        <v>924</v>
      </c>
      <c r="K20" s="132">
        <v>0.15</v>
      </c>
      <c r="L20" s="132" t="s">
        <v>1254</v>
      </c>
      <c r="M20" s="139"/>
    </row>
    <row r="21" spans="1:13" ht="38.25" x14ac:dyDescent="0.2">
      <c r="A21" s="37">
        <v>8</v>
      </c>
      <c r="B21" s="52"/>
      <c r="C21" s="53" t="s">
        <v>10</v>
      </c>
      <c r="D21" s="52"/>
      <c r="E21" s="132"/>
      <c r="F21" s="132"/>
      <c r="G21" s="133">
        <v>295985</v>
      </c>
      <c r="H21" s="140" t="s">
        <v>277</v>
      </c>
      <c r="I21" s="132"/>
      <c r="J21" s="138"/>
      <c r="K21" s="132"/>
      <c r="L21" s="132"/>
      <c r="M21" s="144">
        <f>+M22</f>
        <v>428000000</v>
      </c>
    </row>
    <row r="22" spans="1:13" x14ac:dyDescent="0.2">
      <c r="A22" s="37">
        <v>9</v>
      </c>
      <c r="B22" s="52"/>
      <c r="C22" s="53"/>
      <c r="D22" s="52"/>
      <c r="E22" s="132"/>
      <c r="F22" s="132"/>
      <c r="G22" s="133"/>
      <c r="H22" s="140" t="s">
        <v>835</v>
      </c>
      <c r="I22" s="132"/>
      <c r="J22" s="138"/>
      <c r="K22" s="132"/>
      <c r="L22" s="132"/>
      <c r="M22" s="144">
        <f>828000000-400000000</f>
        <v>428000000</v>
      </c>
    </row>
    <row r="23" spans="1:13" x14ac:dyDescent="0.2">
      <c r="A23" s="37"/>
      <c r="B23" s="52"/>
      <c r="C23" s="53"/>
      <c r="D23" s="52"/>
      <c r="E23" s="132"/>
      <c r="F23" s="132"/>
      <c r="G23" s="133"/>
      <c r="H23" s="140"/>
      <c r="I23" s="132"/>
      <c r="J23" s="138"/>
      <c r="K23" s="132"/>
      <c r="L23" s="132"/>
      <c r="M23" s="144"/>
    </row>
    <row r="24" spans="1:13" x14ac:dyDescent="0.2">
      <c r="A24" s="37">
        <v>3</v>
      </c>
      <c r="B24" s="52" t="s">
        <v>422</v>
      </c>
      <c r="C24" s="53"/>
      <c r="D24" s="52"/>
      <c r="E24" s="132"/>
      <c r="F24" s="132"/>
      <c r="G24" s="133"/>
      <c r="H24" s="141" t="s">
        <v>381</v>
      </c>
      <c r="I24" s="132"/>
      <c r="J24" s="138"/>
      <c r="K24" s="132"/>
      <c r="L24" s="132"/>
      <c r="M24" s="142">
        <f>+M25</f>
        <v>2216000000</v>
      </c>
    </row>
    <row r="25" spans="1:13" x14ac:dyDescent="0.2">
      <c r="A25" s="37">
        <v>4</v>
      </c>
      <c r="B25" s="52" t="s">
        <v>1069</v>
      </c>
      <c r="C25" s="53"/>
      <c r="D25" s="52"/>
      <c r="E25" s="132"/>
      <c r="F25" s="132"/>
      <c r="G25" s="133"/>
      <c r="H25" s="141" t="s">
        <v>779</v>
      </c>
      <c r="I25" s="132"/>
      <c r="J25" s="138"/>
      <c r="K25" s="132"/>
      <c r="L25" s="132"/>
      <c r="M25" s="142">
        <f>+M28+M32+M36</f>
        <v>2216000000</v>
      </c>
    </row>
    <row r="26" spans="1:13" ht="44.45" customHeight="1" x14ac:dyDescent="0.2">
      <c r="A26" s="37">
        <v>5</v>
      </c>
      <c r="B26" s="52"/>
      <c r="C26" s="53"/>
      <c r="D26" s="52"/>
      <c r="E26" s="143">
        <v>327</v>
      </c>
      <c r="F26" s="132" t="s">
        <v>268</v>
      </c>
      <c r="G26" s="133"/>
      <c r="H26" s="140" t="s">
        <v>829</v>
      </c>
      <c r="I26" s="143">
        <v>4</v>
      </c>
      <c r="J26" s="138" t="s">
        <v>1002</v>
      </c>
      <c r="K26" s="143"/>
      <c r="L26" s="132"/>
      <c r="M26" s="139"/>
    </row>
    <row r="27" spans="1:13" ht="28.9" customHeight="1" x14ac:dyDescent="0.2">
      <c r="A27" s="37">
        <v>5</v>
      </c>
      <c r="B27" s="52"/>
      <c r="C27" s="53"/>
      <c r="D27" s="52"/>
      <c r="E27" s="143">
        <v>497</v>
      </c>
      <c r="F27" s="132" t="s">
        <v>268</v>
      </c>
      <c r="G27" s="133"/>
      <c r="H27" s="140" t="s">
        <v>1049</v>
      </c>
      <c r="I27" s="143">
        <v>1</v>
      </c>
      <c r="J27" s="138" t="s">
        <v>571</v>
      </c>
      <c r="K27" s="143"/>
      <c r="L27" s="132"/>
      <c r="M27" s="139"/>
    </row>
    <row r="28" spans="1:13" x14ac:dyDescent="0.2">
      <c r="A28" s="37">
        <v>6</v>
      </c>
      <c r="B28" s="52" t="s">
        <v>857</v>
      </c>
      <c r="C28" s="53"/>
      <c r="D28" s="52"/>
      <c r="E28" s="132"/>
      <c r="F28" s="132"/>
      <c r="G28" s="133"/>
      <c r="H28" s="141" t="s">
        <v>1004</v>
      </c>
      <c r="I28" s="132"/>
      <c r="J28" s="138"/>
      <c r="K28" s="132"/>
      <c r="L28" s="132"/>
      <c r="M28" s="142">
        <f>+M30</f>
        <v>366000000</v>
      </c>
    </row>
    <row r="29" spans="1:13" ht="25.5" x14ac:dyDescent="0.2">
      <c r="A29" s="37">
        <v>7</v>
      </c>
      <c r="B29" s="52"/>
      <c r="C29" s="53"/>
      <c r="D29" s="52" t="s">
        <v>984</v>
      </c>
      <c r="E29" s="143">
        <v>498</v>
      </c>
      <c r="F29" s="132" t="s">
        <v>1080</v>
      </c>
      <c r="G29" s="133"/>
      <c r="H29" s="140" t="s">
        <v>838</v>
      </c>
      <c r="I29" s="143">
        <v>2</v>
      </c>
      <c r="J29" s="138" t="s">
        <v>90</v>
      </c>
      <c r="K29" s="143" t="s">
        <v>1255</v>
      </c>
      <c r="L29" s="132" t="s">
        <v>1256</v>
      </c>
      <c r="M29" s="139"/>
    </row>
    <row r="30" spans="1:13" ht="38.25" x14ac:dyDescent="0.2">
      <c r="A30" s="37">
        <v>8</v>
      </c>
      <c r="B30" s="52"/>
      <c r="C30" s="53" t="s">
        <v>10</v>
      </c>
      <c r="D30" s="52"/>
      <c r="E30" s="52"/>
      <c r="F30" s="52"/>
      <c r="G30" s="61">
        <v>296083</v>
      </c>
      <c r="H30" s="42" t="s">
        <v>897</v>
      </c>
      <c r="I30" s="52"/>
      <c r="J30" s="53"/>
      <c r="K30" s="52"/>
      <c r="L30" s="52"/>
      <c r="M30" s="144">
        <f>+M31</f>
        <v>366000000</v>
      </c>
    </row>
    <row r="31" spans="1:13" x14ac:dyDescent="0.2">
      <c r="A31" s="37">
        <v>9</v>
      </c>
      <c r="B31" s="52"/>
      <c r="C31" s="53"/>
      <c r="D31" s="52"/>
      <c r="E31" s="52"/>
      <c r="F31" s="52"/>
      <c r="G31" s="61"/>
      <c r="H31" s="42" t="s">
        <v>835</v>
      </c>
      <c r="I31" s="52"/>
      <c r="J31" s="53"/>
      <c r="K31" s="52"/>
      <c r="L31" s="52"/>
      <c r="M31" s="144">
        <f>566000000-200000000</f>
        <v>366000000</v>
      </c>
    </row>
    <row r="32" spans="1:13" x14ac:dyDescent="0.2">
      <c r="A32" s="37">
        <v>6</v>
      </c>
      <c r="B32" s="52" t="s">
        <v>497</v>
      </c>
      <c r="C32" s="53"/>
      <c r="D32" s="52"/>
      <c r="E32" s="52"/>
      <c r="F32" s="52"/>
      <c r="G32" s="61"/>
      <c r="H32" s="56" t="s">
        <v>676</v>
      </c>
      <c r="I32" s="52"/>
      <c r="J32" s="53"/>
      <c r="K32" s="52"/>
      <c r="L32" s="52"/>
      <c r="M32" s="142">
        <f>+M34</f>
        <v>750000000</v>
      </c>
    </row>
    <row r="33" spans="1:13" ht="38.25" x14ac:dyDescent="0.2">
      <c r="A33" s="37">
        <v>7</v>
      </c>
      <c r="B33" s="52"/>
      <c r="C33" s="53"/>
      <c r="D33" s="52" t="s">
        <v>984</v>
      </c>
      <c r="E33" s="55">
        <v>499</v>
      </c>
      <c r="F33" s="52" t="s">
        <v>1080</v>
      </c>
      <c r="G33" s="61"/>
      <c r="H33" s="42" t="s">
        <v>969</v>
      </c>
      <c r="I33" s="55">
        <v>13</v>
      </c>
      <c r="J33" s="53" t="s">
        <v>90</v>
      </c>
      <c r="K33" s="55">
        <v>5</v>
      </c>
      <c r="L33" s="52" t="s">
        <v>1137</v>
      </c>
      <c r="M33" s="139"/>
    </row>
    <row r="34" spans="1:13" ht="38.25" x14ac:dyDescent="0.2">
      <c r="A34" s="37">
        <v>8</v>
      </c>
      <c r="B34" s="52"/>
      <c r="C34" s="53" t="s">
        <v>10</v>
      </c>
      <c r="D34" s="52"/>
      <c r="E34" s="52"/>
      <c r="F34" s="52"/>
      <c r="G34" s="61">
        <v>296082</v>
      </c>
      <c r="H34" s="42" t="s">
        <v>528</v>
      </c>
      <c r="I34" s="52"/>
      <c r="J34" s="53"/>
      <c r="K34" s="52"/>
      <c r="L34" s="52"/>
      <c r="M34" s="144">
        <f>+M35</f>
        <v>750000000</v>
      </c>
    </row>
    <row r="35" spans="1:13" x14ac:dyDescent="0.2">
      <c r="A35" s="37">
        <v>9</v>
      </c>
      <c r="B35" s="52"/>
      <c r="C35" s="53"/>
      <c r="D35" s="52"/>
      <c r="E35" s="52"/>
      <c r="F35" s="52"/>
      <c r="G35" s="61"/>
      <c r="H35" s="42" t="s">
        <v>835</v>
      </c>
      <c r="I35" s="52"/>
      <c r="J35" s="53"/>
      <c r="K35" s="52"/>
      <c r="L35" s="52"/>
      <c r="M35" s="144">
        <f>1500000000-750000000</f>
        <v>750000000</v>
      </c>
    </row>
    <row r="36" spans="1:13" x14ac:dyDescent="0.2">
      <c r="A36" s="37">
        <v>6</v>
      </c>
      <c r="B36" s="52" t="s">
        <v>955</v>
      </c>
      <c r="C36" s="53"/>
      <c r="D36" s="52"/>
      <c r="E36" s="52"/>
      <c r="F36" s="52"/>
      <c r="G36" s="61"/>
      <c r="H36" s="56" t="s">
        <v>550</v>
      </c>
      <c r="I36" s="52"/>
      <c r="J36" s="53"/>
      <c r="K36" s="52"/>
      <c r="L36" s="52"/>
      <c r="M36" s="142">
        <f>+M38</f>
        <v>1100000000</v>
      </c>
    </row>
    <row r="37" spans="1:13" ht="42" customHeight="1" x14ac:dyDescent="0.2">
      <c r="A37" s="37">
        <v>7</v>
      </c>
      <c r="B37" s="52"/>
      <c r="C37" s="53"/>
      <c r="D37" s="52" t="s">
        <v>984</v>
      </c>
      <c r="E37" s="55">
        <v>500</v>
      </c>
      <c r="F37" s="52" t="s">
        <v>1080</v>
      </c>
      <c r="G37" s="61"/>
      <c r="H37" s="42" t="s">
        <v>709</v>
      </c>
      <c r="I37" s="55">
        <v>10</v>
      </c>
      <c r="J37" s="53" t="s">
        <v>90</v>
      </c>
      <c r="K37" s="55">
        <v>5</v>
      </c>
      <c r="L37" s="52" t="s">
        <v>841</v>
      </c>
      <c r="M37" s="139"/>
    </row>
    <row r="38" spans="1:13" ht="38.25" x14ac:dyDescent="0.2">
      <c r="A38" s="37">
        <v>8</v>
      </c>
      <c r="B38" s="52"/>
      <c r="C38" s="53" t="s">
        <v>10</v>
      </c>
      <c r="D38" s="52"/>
      <c r="E38" s="52"/>
      <c r="F38" s="52"/>
      <c r="G38" s="61">
        <v>296079</v>
      </c>
      <c r="H38" s="42" t="s">
        <v>105</v>
      </c>
      <c r="I38" s="52"/>
      <c r="J38" s="53"/>
      <c r="K38" s="52"/>
      <c r="L38" s="52"/>
      <c r="M38" s="144">
        <f>+M39</f>
        <v>1100000000</v>
      </c>
    </row>
    <row r="39" spans="1:13" x14ac:dyDescent="0.2">
      <c r="A39" s="37">
        <v>9</v>
      </c>
      <c r="B39" s="52"/>
      <c r="C39" s="53"/>
      <c r="D39" s="52"/>
      <c r="E39" s="52"/>
      <c r="F39" s="52"/>
      <c r="G39" s="61"/>
      <c r="H39" s="42" t="s">
        <v>835</v>
      </c>
      <c r="I39" s="52"/>
      <c r="J39" s="53"/>
      <c r="K39" s="52"/>
      <c r="L39" s="52"/>
      <c r="M39" s="144">
        <f>2100000000-1000000000</f>
        <v>1100000000</v>
      </c>
    </row>
    <row r="40" spans="1:13" x14ac:dyDescent="0.2">
      <c r="A40" s="37"/>
      <c r="B40" s="52"/>
      <c r="C40" s="53"/>
      <c r="D40" s="52"/>
      <c r="E40" s="52"/>
      <c r="F40" s="52"/>
      <c r="G40" s="61"/>
      <c r="H40" s="42"/>
      <c r="I40" s="52"/>
      <c r="J40" s="53"/>
      <c r="K40" s="52"/>
      <c r="L40" s="52"/>
      <c r="M40" s="144"/>
    </row>
    <row r="41" spans="1:13" x14ac:dyDescent="0.2">
      <c r="A41" s="37"/>
      <c r="B41" s="52"/>
      <c r="C41" s="53"/>
      <c r="D41" s="52"/>
      <c r="E41" s="52"/>
      <c r="F41" s="52"/>
      <c r="G41" s="61"/>
      <c r="H41" s="42"/>
      <c r="I41" s="52"/>
      <c r="J41" s="53"/>
      <c r="K41" s="52"/>
      <c r="L41" s="52"/>
      <c r="M41" s="144"/>
    </row>
    <row r="42" spans="1:13" ht="15" x14ac:dyDescent="0.25">
      <c r="A42" s="37">
        <v>10</v>
      </c>
      <c r="B42" s="52"/>
      <c r="C42" s="53"/>
      <c r="D42" s="52"/>
      <c r="E42" s="52"/>
      <c r="F42" s="52"/>
      <c r="G42" s="61"/>
      <c r="H42" s="58" t="s">
        <v>1107</v>
      </c>
      <c r="I42" s="59"/>
      <c r="J42" s="58"/>
      <c r="K42" s="59"/>
      <c r="L42" s="59"/>
      <c r="M42" s="136">
        <f>+M24+M9</f>
        <v>3044000000</v>
      </c>
    </row>
    <row r="43" spans="1:13" ht="15" x14ac:dyDescent="0.25">
      <c r="A43" s="37"/>
      <c r="B43" s="52"/>
      <c r="C43" s="53"/>
      <c r="D43" s="52"/>
      <c r="E43" s="52"/>
      <c r="F43" s="52"/>
      <c r="G43" s="61"/>
      <c r="H43" s="58"/>
      <c r="I43" s="59"/>
      <c r="J43" s="58"/>
      <c r="K43" s="59"/>
      <c r="L43" s="59"/>
      <c r="M43" s="64"/>
    </row>
  </sheetData>
  <mergeCells count="1">
    <mergeCell ref="B2:M2"/>
  </mergeCells>
  <pageMargins left="0.74803149606299213" right="0.35433070866141736" top="0.7" bottom="0.98425196850393704" header="0.51181102362204722" footer="0.51181102362204722"/>
  <pageSetup paperSize="5"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L46"/>
  <sheetViews>
    <sheetView topLeftCell="B37" zoomScale="83" zoomScaleNormal="83" workbookViewId="0">
      <selection activeCell="B45" sqref="B45:K76"/>
    </sheetView>
  </sheetViews>
  <sheetFormatPr baseColWidth="10" defaultColWidth="9.140625" defaultRowHeight="12.75" x14ac:dyDescent="0.2"/>
  <cols>
    <col min="1" max="1" width="13.42578125" style="32" hidden="1" customWidth="1"/>
    <col min="2" max="2" width="9.42578125" style="69" customWidth="1"/>
    <col min="3" max="3" width="18" style="70" customWidth="1"/>
    <col min="4" max="4" width="8.28515625" style="69" customWidth="1"/>
    <col min="5" max="5" width="9.140625" style="69"/>
    <col min="6" max="6" width="12.85546875" style="69" customWidth="1"/>
    <col min="7" max="7" width="10" style="69" customWidth="1"/>
    <col min="8" max="8" width="56.42578125"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2" spans="1:116" ht="24" customHeight="1" x14ac:dyDescent="0.2">
      <c r="B2" s="187" t="s">
        <v>1103</v>
      </c>
      <c r="C2" s="187"/>
      <c r="D2" s="187"/>
      <c r="E2" s="187"/>
      <c r="F2" s="187"/>
      <c r="G2" s="187"/>
      <c r="H2" s="187"/>
      <c r="I2" s="187"/>
      <c r="J2" s="187"/>
      <c r="K2" s="187"/>
      <c r="L2" s="187"/>
      <c r="M2" s="187"/>
    </row>
    <row r="4" spans="1:116" s="33" customFormat="1" ht="69.75" customHeight="1" x14ac:dyDescent="0.2">
      <c r="A4" s="33" t="s">
        <v>641</v>
      </c>
      <c r="B4" s="71" t="s">
        <v>1100</v>
      </c>
      <c r="C4" s="71" t="s">
        <v>1092</v>
      </c>
      <c r="D4" s="184" t="s">
        <v>1091</v>
      </c>
      <c r="E4" s="71" t="s">
        <v>1097</v>
      </c>
      <c r="F4" s="184" t="s">
        <v>1098</v>
      </c>
      <c r="G4" s="184" t="s">
        <v>1093</v>
      </c>
      <c r="H4" s="71" t="s">
        <v>409</v>
      </c>
      <c r="I4" s="71" t="s">
        <v>1094</v>
      </c>
      <c r="J4" s="71" t="s">
        <v>1095</v>
      </c>
      <c r="K4" s="71" t="s">
        <v>1104</v>
      </c>
      <c r="L4" s="71" t="s">
        <v>1096</v>
      </c>
      <c r="M4" s="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row>
    <row r="5" spans="1:116" ht="15" x14ac:dyDescent="0.25">
      <c r="A5" s="37"/>
      <c r="B5" s="52"/>
      <c r="C5" s="53"/>
      <c r="D5" s="52"/>
      <c r="E5" s="52"/>
      <c r="F5" s="52"/>
      <c r="G5" s="61"/>
      <c r="H5" s="58"/>
      <c r="I5" s="59"/>
      <c r="J5" s="58"/>
      <c r="K5" s="59"/>
      <c r="L5" s="59"/>
      <c r="M5" s="64"/>
    </row>
    <row r="6" spans="1:116" ht="15.75" x14ac:dyDescent="0.2">
      <c r="A6" s="37">
        <v>0</v>
      </c>
      <c r="B6" s="52"/>
      <c r="C6" s="53"/>
      <c r="D6" s="52"/>
      <c r="E6" s="52"/>
      <c r="F6" s="52"/>
      <c r="G6" s="61"/>
      <c r="H6" s="51" t="s">
        <v>1058</v>
      </c>
      <c r="I6" s="52"/>
      <c r="J6" s="53"/>
      <c r="K6" s="52"/>
      <c r="L6" s="52"/>
      <c r="M6" s="54"/>
    </row>
    <row r="7" spans="1:116" ht="31.5" x14ac:dyDescent="0.2">
      <c r="A7" s="37">
        <v>1</v>
      </c>
      <c r="B7" s="52"/>
      <c r="C7" s="53"/>
      <c r="D7" s="52"/>
      <c r="E7" s="52"/>
      <c r="F7" s="52"/>
      <c r="G7" s="61"/>
      <c r="H7" s="51" t="s">
        <v>1108</v>
      </c>
      <c r="I7" s="52"/>
      <c r="J7" s="53"/>
      <c r="K7" s="52"/>
      <c r="L7" s="52"/>
      <c r="M7" s="54"/>
    </row>
    <row r="8" spans="1:116" x14ac:dyDescent="0.2">
      <c r="A8" s="37">
        <v>2</v>
      </c>
      <c r="B8" s="52"/>
      <c r="C8" s="53"/>
      <c r="D8" s="52"/>
      <c r="E8" s="52"/>
      <c r="F8" s="52"/>
      <c r="G8" s="61"/>
      <c r="H8" s="42"/>
      <c r="I8" s="52"/>
      <c r="J8" s="53"/>
      <c r="K8" s="52"/>
      <c r="L8" s="52"/>
      <c r="M8" s="54"/>
    </row>
    <row r="9" spans="1:116" ht="25.5" x14ac:dyDescent="0.2">
      <c r="A9" s="37">
        <v>3</v>
      </c>
      <c r="B9" s="52" t="s">
        <v>841</v>
      </c>
      <c r="C9" s="53"/>
      <c r="D9" s="52"/>
      <c r="E9" s="52"/>
      <c r="F9" s="52"/>
      <c r="G9" s="61"/>
      <c r="H9" s="56" t="s">
        <v>165</v>
      </c>
      <c r="I9" s="52"/>
      <c r="J9" s="53"/>
      <c r="K9" s="52"/>
      <c r="L9" s="52"/>
      <c r="M9" s="38">
        <f>+M10</f>
        <v>13669000000</v>
      </c>
    </row>
    <row r="10" spans="1:116" x14ac:dyDescent="0.2">
      <c r="A10" s="37">
        <v>4</v>
      </c>
      <c r="B10" s="52" t="s">
        <v>450</v>
      </c>
      <c r="C10" s="53"/>
      <c r="D10" s="52"/>
      <c r="E10" s="52"/>
      <c r="F10" s="52"/>
      <c r="G10" s="61"/>
      <c r="H10" s="56" t="s">
        <v>256</v>
      </c>
      <c r="I10" s="52"/>
      <c r="J10" s="53"/>
      <c r="K10" s="52"/>
      <c r="L10" s="52"/>
      <c r="M10" s="38">
        <f>+M12+M22+M36</f>
        <v>13669000000</v>
      </c>
    </row>
    <row r="11" spans="1:116" ht="25.5" x14ac:dyDescent="0.2">
      <c r="A11" s="37">
        <v>5</v>
      </c>
      <c r="B11" s="52"/>
      <c r="C11" s="53"/>
      <c r="D11" s="52"/>
      <c r="E11" s="55">
        <v>621</v>
      </c>
      <c r="F11" s="52" t="s">
        <v>268</v>
      </c>
      <c r="G11" s="61"/>
      <c r="H11" s="42" t="s">
        <v>664</v>
      </c>
      <c r="I11" s="76">
        <v>8.1999999999999993</v>
      </c>
      <c r="J11" s="53" t="s">
        <v>440</v>
      </c>
      <c r="K11" s="55"/>
      <c r="L11" s="52" t="s">
        <v>422</v>
      </c>
      <c r="M11" s="54"/>
    </row>
    <row r="12" spans="1:116" x14ac:dyDescent="0.2">
      <c r="A12" s="37">
        <v>6</v>
      </c>
      <c r="B12" s="52" t="s">
        <v>857</v>
      </c>
      <c r="C12" s="53"/>
      <c r="D12" s="52"/>
      <c r="E12" s="52"/>
      <c r="F12" s="52"/>
      <c r="G12" s="61"/>
      <c r="H12" s="56" t="s">
        <v>312</v>
      </c>
      <c r="I12" s="52"/>
      <c r="J12" s="53"/>
      <c r="K12" s="52"/>
      <c r="L12" s="52"/>
      <c r="M12" s="38">
        <f>+M16+M20+M18</f>
        <v>5090000000</v>
      </c>
    </row>
    <row r="13" spans="1:116" ht="63.75" x14ac:dyDescent="0.2">
      <c r="A13" s="37"/>
      <c r="B13" s="52"/>
      <c r="C13" s="53"/>
      <c r="D13" s="52" t="s">
        <v>63</v>
      </c>
      <c r="E13" s="55">
        <v>568</v>
      </c>
      <c r="F13" s="52" t="s">
        <v>1080</v>
      </c>
      <c r="G13" s="61"/>
      <c r="H13" s="74" t="s">
        <v>36</v>
      </c>
      <c r="I13" s="55">
        <v>35</v>
      </c>
      <c r="J13" s="53" t="s">
        <v>286</v>
      </c>
      <c r="K13" s="55">
        <v>3</v>
      </c>
      <c r="L13" s="52" t="s">
        <v>1195</v>
      </c>
      <c r="M13" s="38"/>
    </row>
    <row r="14" spans="1:116" ht="63.75" x14ac:dyDescent="0.2">
      <c r="A14" s="37">
        <v>7</v>
      </c>
      <c r="B14" s="52"/>
      <c r="C14" s="53"/>
      <c r="D14" s="52" t="s">
        <v>63</v>
      </c>
      <c r="E14" s="55">
        <v>570</v>
      </c>
      <c r="F14" s="52" t="s">
        <v>1080</v>
      </c>
      <c r="G14" s="61"/>
      <c r="H14" s="74" t="s">
        <v>434</v>
      </c>
      <c r="I14" s="55">
        <v>25</v>
      </c>
      <c r="J14" s="53" t="s">
        <v>440</v>
      </c>
      <c r="K14" s="55">
        <v>0</v>
      </c>
      <c r="L14" s="52" t="s">
        <v>1257</v>
      </c>
      <c r="M14" s="54"/>
    </row>
    <row r="15" spans="1:116" ht="63.75" x14ac:dyDescent="0.2">
      <c r="A15" s="37">
        <v>7</v>
      </c>
      <c r="B15" s="52"/>
      <c r="C15" s="53"/>
      <c r="D15" s="52" t="s">
        <v>63</v>
      </c>
      <c r="E15" s="55">
        <v>571</v>
      </c>
      <c r="F15" s="52" t="s">
        <v>1080</v>
      </c>
      <c r="G15" s="61"/>
      <c r="H15" s="74" t="s">
        <v>434</v>
      </c>
      <c r="I15" s="55">
        <v>35</v>
      </c>
      <c r="J15" s="53" t="s">
        <v>440</v>
      </c>
      <c r="K15" s="55" t="s">
        <v>1258</v>
      </c>
      <c r="L15" s="52" t="s">
        <v>1196</v>
      </c>
      <c r="M15" s="54"/>
    </row>
    <row r="16" spans="1:116" ht="51" x14ac:dyDescent="0.2">
      <c r="A16" s="37">
        <v>8</v>
      </c>
      <c r="B16" s="52"/>
      <c r="C16" s="53" t="s">
        <v>1159</v>
      </c>
      <c r="D16" s="52"/>
      <c r="E16" s="52"/>
      <c r="F16" s="52"/>
      <c r="G16" s="61">
        <v>295942</v>
      </c>
      <c r="H16" s="42" t="s">
        <v>1197</v>
      </c>
      <c r="I16" s="52"/>
      <c r="J16" s="53"/>
      <c r="K16" s="52"/>
      <c r="L16" s="52"/>
      <c r="M16" s="37">
        <f>+M17</f>
        <v>1020000000</v>
      </c>
    </row>
    <row r="17" spans="1:13" x14ac:dyDescent="0.2">
      <c r="A17" s="37">
        <v>9</v>
      </c>
      <c r="B17" s="52"/>
      <c r="C17" s="53"/>
      <c r="D17" s="52"/>
      <c r="E17" s="52"/>
      <c r="F17" s="52"/>
      <c r="G17" s="61"/>
      <c r="H17" s="42" t="s">
        <v>835</v>
      </c>
      <c r="I17" s="52"/>
      <c r="J17" s="53"/>
      <c r="K17" s="52"/>
      <c r="L17" s="52"/>
      <c r="M17" s="37">
        <f>1020000000</f>
        <v>1020000000</v>
      </c>
    </row>
    <row r="18" spans="1:13" ht="38.25" x14ac:dyDescent="0.2">
      <c r="A18" s="37"/>
      <c r="B18" s="52"/>
      <c r="C18" s="53" t="s">
        <v>10</v>
      </c>
      <c r="D18" s="52"/>
      <c r="E18" s="52"/>
      <c r="F18" s="52"/>
      <c r="G18" s="61">
        <v>295942</v>
      </c>
      <c r="H18" s="42" t="s">
        <v>1262</v>
      </c>
      <c r="I18" s="52"/>
      <c r="J18" s="53"/>
      <c r="K18" s="52"/>
      <c r="L18" s="52"/>
      <c r="M18" s="37">
        <f>+M19</f>
        <v>2220000000</v>
      </c>
    </row>
    <row r="19" spans="1:13" x14ac:dyDescent="0.2">
      <c r="A19" s="37"/>
      <c r="B19" s="52"/>
      <c r="C19" s="53"/>
      <c r="D19" s="52"/>
      <c r="E19" s="52"/>
      <c r="F19" s="52"/>
      <c r="G19" s="61"/>
      <c r="H19" s="42" t="s">
        <v>835</v>
      </c>
      <c r="I19" s="52"/>
      <c r="J19" s="53"/>
      <c r="K19" s="52"/>
      <c r="L19" s="52"/>
      <c r="M19" s="37">
        <f>1002000000-277000000+847000000+1648000000-1000000000</f>
        <v>2220000000</v>
      </c>
    </row>
    <row r="20" spans="1:13" ht="51" x14ac:dyDescent="0.2">
      <c r="A20" s="37">
        <v>8</v>
      </c>
      <c r="B20" s="52"/>
      <c r="C20" s="53" t="s">
        <v>1159</v>
      </c>
      <c r="D20" s="52"/>
      <c r="E20" s="52"/>
      <c r="F20" s="52"/>
      <c r="G20" s="61">
        <v>295945</v>
      </c>
      <c r="H20" s="42" t="s">
        <v>1198</v>
      </c>
      <c r="I20" s="52"/>
      <c r="J20" s="53"/>
      <c r="K20" s="52"/>
      <c r="L20" s="52"/>
      <c r="M20" s="37">
        <f>+M21</f>
        <v>1850000000</v>
      </c>
    </row>
    <row r="21" spans="1:13" x14ac:dyDescent="0.2">
      <c r="A21" s="37">
        <v>9</v>
      </c>
      <c r="B21" s="52"/>
      <c r="C21" s="53"/>
      <c r="D21" s="52"/>
      <c r="E21" s="52"/>
      <c r="F21" s="52"/>
      <c r="G21" s="61"/>
      <c r="H21" s="42" t="s">
        <v>835</v>
      </c>
      <c r="I21" s="52"/>
      <c r="J21" s="53"/>
      <c r="K21" s="52"/>
      <c r="L21" s="52"/>
      <c r="M21" s="37">
        <v>1850000000</v>
      </c>
    </row>
    <row r="22" spans="1:13" ht="25.5" x14ac:dyDescent="0.2">
      <c r="A22" s="37">
        <v>6</v>
      </c>
      <c r="B22" s="52" t="s">
        <v>497</v>
      </c>
      <c r="C22" s="53"/>
      <c r="D22" s="52"/>
      <c r="E22" s="52"/>
      <c r="F22" s="52"/>
      <c r="G22" s="61"/>
      <c r="H22" s="56" t="s">
        <v>708</v>
      </c>
      <c r="I22" s="52"/>
      <c r="J22" s="53"/>
      <c r="K22" s="52"/>
      <c r="L22" s="52"/>
      <c r="M22" s="38">
        <f>+M28+M32+M30+M34</f>
        <v>7099000000</v>
      </c>
    </row>
    <row r="23" spans="1:13" ht="38.25" x14ac:dyDescent="0.2">
      <c r="A23" s="37"/>
      <c r="B23" s="52"/>
      <c r="C23" s="53"/>
      <c r="D23" s="52" t="s">
        <v>63</v>
      </c>
      <c r="E23" s="55">
        <v>577</v>
      </c>
      <c r="F23" s="52" t="s">
        <v>1080</v>
      </c>
      <c r="G23" s="61"/>
      <c r="H23" s="42" t="s">
        <v>602</v>
      </c>
      <c r="I23" s="55">
        <v>830</v>
      </c>
      <c r="J23" s="53" t="s">
        <v>945</v>
      </c>
      <c r="K23" s="55">
        <v>1231</v>
      </c>
      <c r="L23" s="52" t="s">
        <v>1199</v>
      </c>
      <c r="M23" s="38"/>
    </row>
    <row r="24" spans="1:13" ht="38.25" x14ac:dyDescent="0.2">
      <c r="A24" s="37"/>
      <c r="B24" s="52"/>
      <c r="C24" s="53"/>
      <c r="D24" s="52" t="s">
        <v>63</v>
      </c>
      <c r="E24" s="55">
        <v>580</v>
      </c>
      <c r="F24" s="52" t="s">
        <v>1080</v>
      </c>
      <c r="G24" s="61"/>
      <c r="H24" s="42" t="s">
        <v>795</v>
      </c>
      <c r="I24" s="55">
        <v>8</v>
      </c>
      <c r="J24" s="53" t="s">
        <v>675</v>
      </c>
      <c r="K24" s="55">
        <v>3</v>
      </c>
      <c r="L24" s="52" t="s">
        <v>1025</v>
      </c>
      <c r="M24" s="38"/>
    </row>
    <row r="25" spans="1:13" ht="51" x14ac:dyDescent="0.2">
      <c r="A25" s="37">
        <v>7</v>
      </c>
      <c r="B25" s="52"/>
      <c r="C25" s="53"/>
      <c r="D25" s="52" t="s">
        <v>63</v>
      </c>
      <c r="E25" s="55">
        <v>581</v>
      </c>
      <c r="F25" s="52" t="s">
        <v>1080</v>
      </c>
      <c r="G25" s="61"/>
      <c r="H25" s="42" t="s">
        <v>117</v>
      </c>
      <c r="I25" s="55">
        <v>32</v>
      </c>
      <c r="J25" s="53" t="s">
        <v>924</v>
      </c>
      <c r="K25" s="55">
        <v>32</v>
      </c>
      <c r="L25" s="52" t="s">
        <v>1200</v>
      </c>
      <c r="M25" s="54"/>
    </row>
    <row r="26" spans="1:13" ht="51" x14ac:dyDescent="0.2">
      <c r="A26" s="37">
        <v>7</v>
      </c>
      <c r="B26" s="52"/>
      <c r="C26" s="53"/>
      <c r="D26" s="52" t="s">
        <v>63</v>
      </c>
      <c r="E26" s="55">
        <v>583</v>
      </c>
      <c r="F26" s="52" t="s">
        <v>1080</v>
      </c>
      <c r="G26" s="61"/>
      <c r="H26" s="42" t="s">
        <v>412</v>
      </c>
      <c r="I26" s="55">
        <v>153</v>
      </c>
      <c r="J26" s="53" t="s">
        <v>945</v>
      </c>
      <c r="K26" s="55">
        <v>0</v>
      </c>
      <c r="L26" s="52" t="s">
        <v>1260</v>
      </c>
      <c r="M26" s="54"/>
    </row>
    <row r="27" spans="1:13" x14ac:dyDescent="0.2">
      <c r="A27" s="37">
        <v>7</v>
      </c>
      <c r="B27" s="52"/>
      <c r="C27" s="53"/>
      <c r="D27" s="32"/>
      <c r="E27" s="32"/>
      <c r="F27" s="32"/>
      <c r="G27" s="32"/>
      <c r="H27" s="32"/>
      <c r="I27" s="32"/>
      <c r="J27" s="32"/>
      <c r="K27" s="32"/>
      <c r="L27" s="32"/>
      <c r="M27" s="54"/>
    </row>
    <row r="28" spans="1:13" ht="51" x14ac:dyDescent="0.2">
      <c r="A28" s="37">
        <v>8</v>
      </c>
      <c r="B28" s="52"/>
      <c r="C28" s="53" t="s">
        <v>1159</v>
      </c>
      <c r="D28" s="52"/>
      <c r="E28" s="52"/>
      <c r="F28" s="52"/>
      <c r="G28" s="61">
        <v>295943</v>
      </c>
      <c r="H28" s="93" t="s">
        <v>1201</v>
      </c>
      <c r="I28" s="52"/>
      <c r="J28" s="53"/>
      <c r="K28" s="52"/>
      <c r="L28" s="52"/>
      <c r="M28" s="37">
        <f>+M29</f>
        <v>4450000000</v>
      </c>
    </row>
    <row r="29" spans="1:13" x14ac:dyDescent="0.2">
      <c r="A29" s="37">
        <v>9</v>
      </c>
      <c r="B29" s="52"/>
      <c r="C29" s="53"/>
      <c r="D29" s="52"/>
      <c r="E29" s="52"/>
      <c r="F29" s="52"/>
      <c r="G29" s="61"/>
      <c r="H29" s="42" t="s">
        <v>835</v>
      </c>
      <c r="I29" s="52"/>
      <c r="J29" s="53"/>
      <c r="K29" s="52"/>
      <c r="L29" s="52"/>
      <c r="M29" s="37">
        <f>4450000000</f>
        <v>4450000000</v>
      </c>
    </row>
    <row r="30" spans="1:13" ht="25.5" x14ac:dyDescent="0.2">
      <c r="A30" s="37"/>
      <c r="B30" s="52"/>
      <c r="C30" s="53" t="s">
        <v>10</v>
      </c>
      <c r="D30" s="52"/>
      <c r="E30" s="52"/>
      <c r="F30" s="52"/>
      <c r="G30" s="61">
        <v>295943</v>
      </c>
      <c r="H30" s="42" t="s">
        <v>1263</v>
      </c>
      <c r="I30" s="52"/>
      <c r="J30" s="53"/>
      <c r="K30" s="52"/>
      <c r="L30" s="52"/>
      <c r="M30" s="37">
        <f>+M31</f>
        <v>765000000</v>
      </c>
    </row>
    <row r="31" spans="1:13" x14ac:dyDescent="0.2">
      <c r="A31" s="37"/>
      <c r="B31" s="52"/>
      <c r="C31" s="53"/>
      <c r="D31" s="52"/>
      <c r="E31" s="52"/>
      <c r="F31" s="52"/>
      <c r="G31" s="61"/>
      <c r="H31" s="42" t="s">
        <v>835</v>
      </c>
      <c r="I31" s="52"/>
      <c r="J31" s="53"/>
      <c r="K31" s="52"/>
      <c r="L31" s="52"/>
      <c r="M31" s="37">
        <f>1265000000-500000000</f>
        <v>765000000</v>
      </c>
    </row>
    <row r="32" spans="1:13" ht="51" x14ac:dyDescent="0.2">
      <c r="A32" s="37">
        <v>8</v>
      </c>
      <c r="B32" s="52"/>
      <c r="C32" s="53" t="s">
        <v>1159</v>
      </c>
      <c r="D32" s="52"/>
      <c r="E32" s="52"/>
      <c r="F32" s="52"/>
      <c r="G32" s="61">
        <v>295944</v>
      </c>
      <c r="H32" s="93" t="s">
        <v>1202</v>
      </c>
      <c r="I32" s="52"/>
      <c r="J32" s="53"/>
      <c r="K32" s="52"/>
      <c r="L32" s="52"/>
      <c r="M32" s="37">
        <f>+M33</f>
        <v>78820964</v>
      </c>
    </row>
    <row r="33" spans="1:116" x14ac:dyDescent="0.2">
      <c r="A33" s="37">
        <v>9</v>
      </c>
      <c r="B33" s="52"/>
      <c r="C33" s="53"/>
      <c r="D33" s="52"/>
      <c r="E33" s="52"/>
      <c r="F33" s="52"/>
      <c r="G33" s="61"/>
      <c r="H33" s="42" t="s">
        <v>835</v>
      </c>
      <c r="I33" s="52"/>
      <c r="J33" s="53"/>
      <c r="K33" s="52"/>
      <c r="L33" s="52"/>
      <c r="M33" s="37">
        <f>78820964</f>
        <v>78820964</v>
      </c>
    </row>
    <row r="34" spans="1:116" ht="25.5" x14ac:dyDescent="0.2">
      <c r="A34" s="37"/>
      <c r="B34" s="52"/>
      <c r="C34" s="53" t="s">
        <v>10</v>
      </c>
      <c r="D34" s="52"/>
      <c r="E34" s="52"/>
      <c r="F34" s="52"/>
      <c r="G34" s="61">
        <v>295944</v>
      </c>
      <c r="H34" s="42" t="s">
        <v>1264</v>
      </c>
      <c r="I34" s="52"/>
      <c r="J34" s="53"/>
      <c r="K34" s="52"/>
      <c r="L34" s="52"/>
      <c r="M34" s="37">
        <f>+M35</f>
        <v>1805179036</v>
      </c>
    </row>
    <row r="35" spans="1:116" x14ac:dyDescent="0.2">
      <c r="A35" s="37"/>
      <c r="B35" s="52"/>
      <c r="C35" s="53"/>
      <c r="D35" s="52"/>
      <c r="E35" s="52"/>
      <c r="F35" s="52"/>
      <c r="G35" s="61"/>
      <c r="H35" s="42" t="s">
        <v>835</v>
      </c>
      <c r="I35" s="52"/>
      <c r="J35" s="53"/>
      <c r="K35" s="52"/>
      <c r="L35" s="52"/>
      <c r="M35" s="37">
        <f>1805179036+300000000-300000000</f>
        <v>1805179036</v>
      </c>
    </row>
    <row r="36" spans="1:116" x14ac:dyDescent="0.2">
      <c r="A36" s="37">
        <v>6</v>
      </c>
      <c r="B36" s="52" t="s">
        <v>955</v>
      </c>
      <c r="C36" s="53"/>
      <c r="D36" s="52"/>
      <c r="E36" s="52"/>
      <c r="F36" s="52"/>
      <c r="G36" s="61"/>
      <c r="H36" s="56" t="s">
        <v>840</v>
      </c>
      <c r="I36" s="52"/>
      <c r="J36" s="53"/>
      <c r="K36" s="52"/>
      <c r="L36" s="52"/>
      <c r="M36" s="38">
        <f>+M39</f>
        <v>1480000000</v>
      </c>
    </row>
    <row r="37" spans="1:116" ht="76.5" x14ac:dyDescent="0.2">
      <c r="A37" s="37">
        <v>7</v>
      </c>
      <c r="B37" s="52"/>
      <c r="C37" s="53"/>
      <c r="D37" s="52" t="s">
        <v>63</v>
      </c>
      <c r="E37" s="55">
        <v>587</v>
      </c>
      <c r="F37" s="52" t="s">
        <v>1080</v>
      </c>
      <c r="G37" s="61"/>
      <c r="H37" s="74" t="s">
        <v>818</v>
      </c>
      <c r="I37" s="55">
        <v>56</v>
      </c>
      <c r="J37" s="53" t="s">
        <v>257</v>
      </c>
      <c r="K37" s="55">
        <v>4</v>
      </c>
      <c r="L37" s="52" t="s">
        <v>1261</v>
      </c>
      <c r="M37" s="54"/>
    </row>
    <row r="38" spans="1:116" ht="38.25" x14ac:dyDescent="0.2">
      <c r="A38" s="37"/>
      <c r="B38" s="52"/>
      <c r="C38" s="53"/>
      <c r="D38" s="52" t="s">
        <v>63</v>
      </c>
      <c r="E38" s="55">
        <v>590</v>
      </c>
      <c r="F38" s="52" t="s">
        <v>1080</v>
      </c>
      <c r="G38" s="61"/>
      <c r="H38" s="74" t="s">
        <v>1304</v>
      </c>
      <c r="I38" s="55">
        <v>60</v>
      </c>
      <c r="J38" s="53" t="s">
        <v>286</v>
      </c>
      <c r="K38" s="55">
        <v>18</v>
      </c>
      <c r="L38" s="52" t="s">
        <v>1259</v>
      </c>
      <c r="M38" s="54"/>
    </row>
    <row r="39" spans="1:116" ht="26.25" customHeight="1" x14ac:dyDescent="0.2">
      <c r="A39" s="37">
        <v>8</v>
      </c>
      <c r="B39" s="52"/>
      <c r="C39" s="53" t="s">
        <v>10</v>
      </c>
      <c r="D39" s="52"/>
      <c r="E39" s="52"/>
      <c r="F39" s="52"/>
      <c r="G39" s="61">
        <v>295946</v>
      </c>
      <c r="H39" s="42" t="s">
        <v>27</v>
      </c>
      <c r="I39" s="52"/>
      <c r="J39" s="53"/>
      <c r="K39" s="52"/>
      <c r="L39" s="52"/>
      <c r="M39" s="37">
        <f>+M40</f>
        <v>1480000000</v>
      </c>
    </row>
    <row r="40" spans="1:116" x14ac:dyDescent="0.2">
      <c r="A40" s="37">
        <v>9</v>
      </c>
      <c r="B40" s="52"/>
      <c r="C40" s="53"/>
      <c r="D40" s="52"/>
      <c r="E40" s="52"/>
      <c r="F40" s="52"/>
      <c r="G40" s="61"/>
      <c r="H40" s="42" t="s">
        <v>835</v>
      </c>
      <c r="I40" s="52"/>
      <c r="J40" s="53"/>
      <c r="K40" s="52"/>
      <c r="L40" s="52"/>
      <c r="M40" s="37">
        <f>1500000000+480000000-500000000</f>
        <v>1480000000</v>
      </c>
    </row>
    <row r="41" spans="1:116" x14ac:dyDescent="0.2">
      <c r="A41" s="37"/>
      <c r="B41" s="52"/>
      <c r="C41" s="53"/>
      <c r="D41" s="52"/>
      <c r="E41" s="132"/>
      <c r="F41" s="132"/>
      <c r="G41" s="133"/>
      <c r="H41" s="140"/>
      <c r="I41" s="132"/>
      <c r="J41" s="138"/>
      <c r="K41" s="132"/>
      <c r="L41" s="132"/>
      <c r="M41" s="144"/>
    </row>
    <row r="42" spans="1:116" ht="30" x14ac:dyDescent="0.25">
      <c r="A42" s="37">
        <v>10</v>
      </c>
      <c r="B42" s="52"/>
      <c r="C42" s="53"/>
      <c r="D42" s="52"/>
      <c r="E42" s="132"/>
      <c r="F42" s="132"/>
      <c r="G42" s="133"/>
      <c r="H42" s="145" t="s">
        <v>1109</v>
      </c>
      <c r="I42" s="135"/>
      <c r="J42" s="134"/>
      <c r="K42" s="135"/>
      <c r="L42" s="135"/>
      <c r="M42" s="136">
        <f>+M9</f>
        <v>13669000000</v>
      </c>
    </row>
    <row r="43" spans="1:116" ht="15" x14ac:dyDescent="0.25">
      <c r="A43" s="37"/>
      <c r="B43" s="52"/>
      <c r="C43" s="53"/>
      <c r="D43" s="52"/>
      <c r="E43" s="52"/>
      <c r="F43" s="52"/>
      <c r="G43" s="61"/>
      <c r="H43" s="63"/>
      <c r="I43" s="59"/>
      <c r="J43" s="58"/>
      <c r="K43" s="59"/>
      <c r="L43" s="59"/>
      <c r="M43" s="64"/>
    </row>
    <row r="44" spans="1:116" ht="15" x14ac:dyDescent="0.25">
      <c r="A44" s="37"/>
      <c r="B44" s="52"/>
      <c r="C44" s="53"/>
      <c r="D44" s="52"/>
      <c r="E44" s="52"/>
      <c r="F44" s="52"/>
      <c r="G44" s="61"/>
      <c r="H44" s="63"/>
      <c r="I44" s="59"/>
      <c r="J44" s="58"/>
      <c r="K44" s="59"/>
      <c r="L44" s="59"/>
      <c r="M44" s="64"/>
    </row>
    <row r="45" spans="1:116" s="36" customFormat="1" x14ac:dyDescent="0.2">
      <c r="A45" s="32"/>
      <c r="B45" s="69"/>
      <c r="C45" s="70"/>
      <c r="D45" s="69"/>
      <c r="E45" s="69"/>
      <c r="F45" s="69"/>
      <c r="G45" s="61"/>
      <c r="I45" s="69"/>
      <c r="J45" s="70"/>
      <c r="K45" s="69"/>
      <c r="L45" s="69"/>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row>
    <row r="46" spans="1:116" s="36" customFormat="1" x14ac:dyDescent="0.2">
      <c r="A46" s="32"/>
      <c r="B46" s="69"/>
      <c r="C46" s="70"/>
      <c r="D46" s="69"/>
      <c r="E46" s="69"/>
      <c r="F46" s="69"/>
      <c r="G46" s="61"/>
      <c r="I46" s="69"/>
      <c r="J46" s="70"/>
      <c r="K46" s="69"/>
      <c r="L46" s="69"/>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row>
  </sheetData>
  <mergeCells count="1">
    <mergeCell ref="B2:M2"/>
  </mergeCells>
  <pageMargins left="0.74803149606299213" right="0.74803149606299213" top="0.98425196850393704" bottom="0.69" header="0.51181102362204722" footer="0.51181102362204722"/>
  <pageSetup paperSize="5" scale="4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74"/>
  <sheetViews>
    <sheetView topLeftCell="D1" zoomScale="80" zoomScaleNormal="80" workbookViewId="0">
      <pane xSplit="9" ySplit="4" topLeftCell="M190" activePane="bottomRight" state="frozen"/>
      <selection activeCell="D1" sqref="D1"/>
      <selection pane="topRight" activeCell="M1" sqref="M1"/>
      <selection pane="bottomLeft" activeCell="D5" sqref="D5"/>
      <selection pane="bottomRight" activeCell="D255" sqref="D255:S301"/>
    </sheetView>
  </sheetViews>
  <sheetFormatPr baseColWidth="10" defaultColWidth="9.140625" defaultRowHeight="12.75" x14ac:dyDescent="0.2"/>
  <cols>
    <col min="1" max="1" width="13.42578125" style="32" customWidth="1"/>
    <col min="2" max="2" width="9.42578125" style="69" customWidth="1"/>
    <col min="3" max="3" width="18" style="70" customWidth="1"/>
    <col min="4" max="4" width="9.42578125" style="69" customWidth="1"/>
    <col min="5" max="5" width="9.140625" style="69"/>
    <col min="6" max="6" width="12.85546875" style="69" customWidth="1"/>
    <col min="7" max="7" width="10" style="69" customWidth="1"/>
    <col min="8" max="8" width="69.140625" style="36" customWidth="1"/>
    <col min="9" max="9" width="11.7109375" style="69" customWidth="1"/>
    <col min="10" max="10" width="16.28515625" style="70" customWidth="1"/>
    <col min="11" max="11" width="16" style="69" customWidth="1"/>
    <col min="12" max="12" width="11" style="69" customWidth="1"/>
    <col min="13" max="13" width="20.28515625" style="32" customWidth="1"/>
    <col min="14" max="16384" width="9.140625" style="32"/>
  </cols>
  <sheetData>
    <row r="1" spans="1:130" x14ac:dyDescent="0.2">
      <c r="B1" s="192"/>
      <c r="C1" s="193"/>
      <c r="D1" s="192"/>
      <c r="E1" s="192"/>
      <c r="F1" s="192"/>
      <c r="G1" s="192"/>
      <c r="H1" s="170"/>
      <c r="I1" s="192"/>
      <c r="J1" s="193"/>
      <c r="K1" s="192"/>
      <c r="L1" s="192"/>
      <c r="M1" s="175"/>
    </row>
    <row r="2" spans="1:130" ht="24" customHeight="1" x14ac:dyDescent="0.2">
      <c r="B2" s="210" t="s">
        <v>1103</v>
      </c>
      <c r="C2" s="210"/>
      <c r="D2" s="210"/>
      <c r="E2" s="210"/>
      <c r="F2" s="210"/>
      <c r="G2" s="210"/>
      <c r="H2" s="210"/>
      <c r="I2" s="210"/>
      <c r="J2" s="210"/>
      <c r="K2" s="210"/>
      <c r="L2" s="210"/>
      <c r="M2" s="210"/>
    </row>
    <row r="3" spans="1:130" x14ac:dyDescent="0.2">
      <c r="B3" s="192"/>
      <c r="C3" s="193"/>
      <c r="D3" s="192"/>
      <c r="E3" s="192"/>
      <c r="F3" s="192"/>
      <c r="G3" s="192"/>
      <c r="H3" s="170"/>
      <c r="I3" s="192"/>
      <c r="J3" s="193"/>
      <c r="K3" s="192"/>
      <c r="L3" s="192"/>
      <c r="M3" s="175"/>
    </row>
    <row r="4" spans="1:130" s="33" customFormat="1" ht="99" customHeight="1" x14ac:dyDescent="0.2">
      <c r="A4" s="33" t="s">
        <v>641</v>
      </c>
      <c r="B4" s="171" t="s">
        <v>1100</v>
      </c>
      <c r="C4" s="171" t="s">
        <v>1092</v>
      </c>
      <c r="D4" s="205" t="s">
        <v>1091</v>
      </c>
      <c r="E4" s="171" t="s">
        <v>1097</v>
      </c>
      <c r="F4" s="205" t="s">
        <v>1098</v>
      </c>
      <c r="G4" s="205" t="s">
        <v>1093</v>
      </c>
      <c r="H4" s="171" t="s">
        <v>409</v>
      </c>
      <c r="I4" s="171" t="s">
        <v>1094</v>
      </c>
      <c r="J4" s="171" t="s">
        <v>1095</v>
      </c>
      <c r="K4" s="171" t="s">
        <v>1104</v>
      </c>
      <c r="L4" s="171" t="s">
        <v>1096</v>
      </c>
      <c r="M4" s="171" t="s">
        <v>1099</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row>
    <row r="5" spans="1:130" x14ac:dyDescent="0.2">
      <c r="B5" s="192"/>
      <c r="C5" s="193"/>
      <c r="D5" s="192"/>
      <c r="E5" s="192"/>
      <c r="F5" s="192"/>
      <c r="G5" s="192"/>
      <c r="H5" s="170"/>
      <c r="I5" s="192"/>
      <c r="J5" s="193"/>
      <c r="K5" s="192"/>
      <c r="L5" s="192"/>
      <c r="M5" s="175"/>
    </row>
    <row r="6" spans="1:130" ht="15" x14ac:dyDescent="0.25">
      <c r="A6" s="37"/>
      <c r="B6" s="189"/>
      <c r="C6" s="190"/>
      <c r="D6" s="189"/>
      <c r="E6" s="189"/>
      <c r="F6" s="189"/>
      <c r="G6" s="195"/>
      <c r="H6" s="178"/>
      <c r="I6" s="208"/>
      <c r="J6" s="207"/>
      <c r="K6" s="208"/>
      <c r="L6" s="208"/>
      <c r="M6" s="202"/>
    </row>
    <row r="7" spans="1:130" ht="15.75" x14ac:dyDescent="0.2">
      <c r="A7" s="37">
        <v>0</v>
      </c>
      <c r="B7" s="189"/>
      <c r="C7" s="190"/>
      <c r="D7" s="189"/>
      <c r="E7" s="189"/>
      <c r="F7" s="189"/>
      <c r="G7" s="195"/>
      <c r="H7" s="172" t="s">
        <v>465</v>
      </c>
      <c r="I7" s="189"/>
      <c r="J7" s="190"/>
      <c r="K7" s="189"/>
      <c r="L7" s="189"/>
      <c r="M7" s="194"/>
    </row>
    <row r="8" spans="1:130" ht="15.75" x14ac:dyDescent="0.2">
      <c r="A8" s="37">
        <v>1</v>
      </c>
      <c r="B8" s="189"/>
      <c r="C8" s="190"/>
      <c r="D8" s="189"/>
      <c r="E8" s="189"/>
      <c r="F8" s="189"/>
      <c r="G8" s="195"/>
      <c r="H8" s="172" t="s">
        <v>334</v>
      </c>
      <c r="I8" s="189"/>
      <c r="J8" s="190"/>
      <c r="K8" s="189"/>
      <c r="L8" s="189"/>
      <c r="M8" s="194"/>
    </row>
    <row r="9" spans="1:130" x14ac:dyDescent="0.2">
      <c r="A9" s="37">
        <v>2</v>
      </c>
      <c r="B9" s="189"/>
      <c r="C9" s="190"/>
      <c r="D9" s="189"/>
      <c r="E9" s="189"/>
      <c r="F9" s="189"/>
      <c r="G9" s="195"/>
      <c r="H9" s="80"/>
      <c r="I9" s="189"/>
      <c r="J9" s="190"/>
      <c r="K9" s="189"/>
      <c r="L9" s="189"/>
      <c r="M9" s="194"/>
    </row>
    <row r="10" spans="1:130" x14ac:dyDescent="0.2">
      <c r="A10" s="37">
        <v>3</v>
      </c>
      <c r="B10" s="189" t="s">
        <v>301</v>
      </c>
      <c r="C10" s="190"/>
      <c r="D10" s="189"/>
      <c r="E10" s="189"/>
      <c r="F10" s="189"/>
      <c r="G10" s="195"/>
      <c r="H10" s="173" t="s">
        <v>981</v>
      </c>
      <c r="I10" s="189"/>
      <c r="J10" s="190"/>
      <c r="K10" s="189"/>
      <c r="L10" s="189"/>
      <c r="M10" s="91">
        <f>+M11+M38+M61+M84+M114+M125+M146+M172+M209</f>
        <v>8371061904</v>
      </c>
    </row>
    <row r="11" spans="1:130" x14ac:dyDescent="0.2">
      <c r="A11" s="37">
        <v>4</v>
      </c>
      <c r="B11" s="189" t="s">
        <v>857</v>
      </c>
      <c r="C11" s="190"/>
      <c r="D11" s="189"/>
      <c r="E11" s="189"/>
      <c r="F11" s="189"/>
      <c r="G11" s="195"/>
      <c r="H11" s="173" t="s">
        <v>387</v>
      </c>
      <c r="I11" s="189"/>
      <c r="J11" s="190"/>
      <c r="K11" s="189"/>
      <c r="L11" s="189"/>
      <c r="M11" s="91">
        <f>+M19+M24+M28+M32</f>
        <v>1570300000</v>
      </c>
    </row>
    <row r="12" spans="1:130" ht="25.5" x14ac:dyDescent="0.2">
      <c r="A12" s="37"/>
      <c r="B12" s="189"/>
      <c r="C12" s="190"/>
      <c r="D12" s="189"/>
      <c r="E12" s="196">
        <v>1</v>
      </c>
      <c r="F12" s="189" t="s">
        <v>268</v>
      </c>
      <c r="G12" s="195"/>
      <c r="H12" s="80" t="s">
        <v>718</v>
      </c>
      <c r="I12" s="196">
        <v>4</v>
      </c>
      <c r="J12" s="190" t="s">
        <v>816</v>
      </c>
      <c r="K12" s="196"/>
      <c r="L12" s="189"/>
      <c r="M12" s="91"/>
    </row>
    <row r="13" spans="1:130" ht="25.5" x14ac:dyDescent="0.2">
      <c r="A13" s="37"/>
      <c r="B13" s="189"/>
      <c r="C13" s="190"/>
      <c r="D13" s="189"/>
      <c r="E13" s="196">
        <v>7</v>
      </c>
      <c r="F13" s="189" t="s">
        <v>268</v>
      </c>
      <c r="G13" s="195"/>
      <c r="H13" s="80" t="s">
        <v>35</v>
      </c>
      <c r="I13" s="197">
        <v>2.5</v>
      </c>
      <c r="J13" s="190" t="s">
        <v>440</v>
      </c>
      <c r="K13" s="196"/>
      <c r="L13" s="189"/>
      <c r="M13" s="91"/>
    </row>
    <row r="14" spans="1:130" ht="25.5" x14ac:dyDescent="0.2">
      <c r="A14" s="37"/>
      <c r="B14" s="189"/>
      <c r="C14" s="190"/>
      <c r="D14" s="189"/>
      <c r="E14" s="196">
        <v>8</v>
      </c>
      <c r="F14" s="189" t="s">
        <v>268</v>
      </c>
      <c r="G14" s="195"/>
      <c r="H14" s="80" t="s">
        <v>1071</v>
      </c>
      <c r="I14" s="197">
        <v>3.5</v>
      </c>
      <c r="J14" s="190" t="s">
        <v>440</v>
      </c>
      <c r="K14" s="196"/>
      <c r="L14" s="189"/>
      <c r="M14" s="91"/>
    </row>
    <row r="15" spans="1:130" ht="25.5" x14ac:dyDescent="0.2">
      <c r="A15" s="37"/>
      <c r="B15" s="189"/>
      <c r="C15" s="190"/>
      <c r="D15" s="189"/>
      <c r="E15" s="196">
        <v>9</v>
      </c>
      <c r="F15" s="189" t="s">
        <v>268</v>
      </c>
      <c r="G15" s="195"/>
      <c r="H15" s="80" t="s">
        <v>414</v>
      </c>
      <c r="I15" s="196">
        <v>15</v>
      </c>
      <c r="J15" s="190" t="s">
        <v>440</v>
      </c>
      <c r="K15" s="196"/>
      <c r="L15" s="189"/>
      <c r="M15" s="91"/>
    </row>
    <row r="16" spans="1:130" ht="38.25" x14ac:dyDescent="0.2">
      <c r="A16" s="37"/>
      <c r="B16" s="189"/>
      <c r="C16" s="190"/>
      <c r="D16" s="189"/>
      <c r="E16" s="196">
        <v>10</v>
      </c>
      <c r="F16" s="189" t="s">
        <v>268</v>
      </c>
      <c r="G16" s="195"/>
      <c r="H16" s="80" t="s">
        <v>501</v>
      </c>
      <c r="I16" s="196">
        <v>100</v>
      </c>
      <c r="J16" s="190" t="s">
        <v>766</v>
      </c>
      <c r="K16" s="196"/>
      <c r="L16" s="189"/>
      <c r="M16" s="91"/>
    </row>
    <row r="17" spans="1:13" ht="25.5" x14ac:dyDescent="0.2">
      <c r="A17" s="37">
        <v>5</v>
      </c>
      <c r="B17" s="189"/>
      <c r="C17" s="190"/>
      <c r="D17" s="189"/>
      <c r="E17" s="196">
        <v>74</v>
      </c>
      <c r="F17" s="189" t="s">
        <v>268</v>
      </c>
      <c r="G17" s="195"/>
      <c r="H17" s="80" t="s">
        <v>828</v>
      </c>
      <c r="I17" s="196">
        <v>60</v>
      </c>
      <c r="J17" s="190" t="s">
        <v>440</v>
      </c>
      <c r="K17" s="196"/>
      <c r="L17" s="189"/>
      <c r="M17" s="194"/>
    </row>
    <row r="18" spans="1:13" x14ac:dyDescent="0.2">
      <c r="A18" s="37">
        <v>5</v>
      </c>
      <c r="B18" s="189"/>
      <c r="C18" s="190"/>
      <c r="D18" s="189"/>
      <c r="E18" s="175"/>
      <c r="F18" s="175"/>
      <c r="G18" s="175"/>
      <c r="H18" s="175"/>
      <c r="I18" s="175"/>
      <c r="J18" s="175"/>
      <c r="K18" s="175"/>
      <c r="L18" s="175"/>
      <c r="M18" s="194"/>
    </row>
    <row r="19" spans="1:13" x14ac:dyDescent="0.2">
      <c r="A19" s="37">
        <v>6</v>
      </c>
      <c r="B19" s="189" t="s">
        <v>857</v>
      </c>
      <c r="C19" s="190"/>
      <c r="D19" s="189"/>
      <c r="E19" s="189"/>
      <c r="F19" s="189"/>
      <c r="G19" s="195"/>
      <c r="H19" s="173" t="s">
        <v>839</v>
      </c>
      <c r="I19" s="189"/>
      <c r="J19" s="190"/>
      <c r="K19" s="189"/>
      <c r="L19" s="189"/>
      <c r="M19" s="91">
        <f>+M22</f>
        <v>920300000</v>
      </c>
    </row>
    <row r="20" spans="1:13" ht="38.25" x14ac:dyDescent="0.2">
      <c r="A20" s="37">
        <v>7</v>
      </c>
      <c r="B20" s="189"/>
      <c r="C20" s="190"/>
      <c r="D20" s="189" t="s">
        <v>168</v>
      </c>
      <c r="E20" s="196">
        <v>15</v>
      </c>
      <c r="F20" s="189" t="s">
        <v>1080</v>
      </c>
      <c r="G20" s="195"/>
      <c r="H20" s="80" t="s">
        <v>908</v>
      </c>
      <c r="I20" s="196">
        <v>4000</v>
      </c>
      <c r="J20" s="190" t="s">
        <v>1073</v>
      </c>
      <c r="K20" s="196">
        <v>0</v>
      </c>
      <c r="L20" s="196">
        <v>4000</v>
      </c>
      <c r="M20" s="194"/>
    </row>
    <row r="21" spans="1:13" ht="38.25" x14ac:dyDescent="0.2">
      <c r="A21" s="37">
        <v>7</v>
      </c>
      <c r="B21" s="189"/>
      <c r="C21" s="190"/>
      <c r="D21" s="189" t="s">
        <v>168</v>
      </c>
      <c r="E21" s="196">
        <v>16</v>
      </c>
      <c r="F21" s="189" t="s">
        <v>1080</v>
      </c>
      <c r="G21" s="195"/>
      <c r="H21" s="80" t="s">
        <v>246</v>
      </c>
      <c r="I21" s="196">
        <v>2000</v>
      </c>
      <c r="J21" s="190" t="s">
        <v>1073</v>
      </c>
      <c r="K21" s="196">
        <v>0</v>
      </c>
      <c r="L21" s="196">
        <v>2000</v>
      </c>
      <c r="M21" s="194"/>
    </row>
    <row r="22" spans="1:13" ht="45" customHeight="1" x14ac:dyDescent="0.2">
      <c r="A22" s="37">
        <v>8</v>
      </c>
      <c r="B22" s="189"/>
      <c r="C22" s="190" t="s">
        <v>10</v>
      </c>
      <c r="D22" s="189"/>
      <c r="E22" s="189"/>
      <c r="F22" s="189"/>
      <c r="G22" s="195">
        <v>296097</v>
      </c>
      <c r="H22" s="80" t="s">
        <v>481</v>
      </c>
      <c r="I22" s="189"/>
      <c r="J22" s="190"/>
      <c r="K22" s="189"/>
      <c r="L22" s="189"/>
      <c r="M22" s="183">
        <f>+M23</f>
        <v>920300000</v>
      </c>
    </row>
    <row r="23" spans="1:13" x14ac:dyDescent="0.2">
      <c r="A23" s="37">
        <v>9</v>
      </c>
      <c r="B23" s="189"/>
      <c r="C23" s="190"/>
      <c r="D23" s="189"/>
      <c r="E23" s="189"/>
      <c r="F23" s="189"/>
      <c r="G23" s="195"/>
      <c r="H23" s="80" t="s">
        <v>835</v>
      </c>
      <c r="I23" s="189"/>
      <c r="J23" s="190"/>
      <c r="K23" s="189"/>
      <c r="L23" s="189"/>
      <c r="M23" s="183">
        <f>720300000+200000000</f>
        <v>920300000</v>
      </c>
    </row>
    <row r="24" spans="1:13" x14ac:dyDescent="0.2">
      <c r="A24" s="37">
        <v>6</v>
      </c>
      <c r="B24" s="189" t="s">
        <v>497</v>
      </c>
      <c r="C24" s="190"/>
      <c r="D24" s="189"/>
      <c r="E24" s="189"/>
      <c r="F24" s="189"/>
      <c r="G24" s="195"/>
      <c r="H24" s="173" t="s">
        <v>316</v>
      </c>
      <c r="I24" s="189"/>
      <c r="J24" s="190"/>
      <c r="K24" s="189"/>
      <c r="L24" s="189"/>
      <c r="M24" s="91">
        <f>+M26</f>
        <v>450000000</v>
      </c>
    </row>
    <row r="25" spans="1:13" ht="38.25" x14ac:dyDescent="0.2">
      <c r="A25" s="37">
        <v>7</v>
      </c>
      <c r="B25" s="189"/>
      <c r="C25" s="190"/>
      <c r="D25" s="189" t="s">
        <v>948</v>
      </c>
      <c r="E25" s="196">
        <v>20</v>
      </c>
      <c r="F25" s="189" t="s">
        <v>1080</v>
      </c>
      <c r="G25" s="195"/>
      <c r="H25" s="80" t="s">
        <v>16</v>
      </c>
      <c r="I25" s="196">
        <v>160</v>
      </c>
      <c r="J25" s="190" t="s">
        <v>684</v>
      </c>
      <c r="K25" s="196">
        <v>72</v>
      </c>
      <c r="L25" s="189" t="s">
        <v>1260</v>
      </c>
      <c r="M25" s="194"/>
    </row>
    <row r="26" spans="1:13" ht="44.45" customHeight="1" x14ac:dyDescent="0.2">
      <c r="A26" s="37">
        <v>8</v>
      </c>
      <c r="B26" s="189"/>
      <c r="C26" s="190" t="s">
        <v>10</v>
      </c>
      <c r="D26" s="189"/>
      <c r="E26" s="189"/>
      <c r="F26" s="189"/>
      <c r="G26" s="195">
        <v>296097</v>
      </c>
      <c r="H26" s="80" t="s">
        <v>481</v>
      </c>
      <c r="I26" s="189"/>
      <c r="J26" s="190"/>
      <c r="K26" s="189"/>
      <c r="L26" s="189"/>
      <c r="M26" s="183">
        <f>+M27</f>
        <v>450000000</v>
      </c>
    </row>
    <row r="27" spans="1:13" x14ac:dyDescent="0.2">
      <c r="A27" s="37">
        <v>9</v>
      </c>
      <c r="B27" s="189"/>
      <c r="C27" s="190"/>
      <c r="D27" s="189"/>
      <c r="E27" s="189"/>
      <c r="F27" s="189"/>
      <c r="G27" s="195"/>
      <c r="H27" s="80" t="s">
        <v>835</v>
      </c>
      <c r="I27" s="189"/>
      <c r="J27" s="190"/>
      <c r="K27" s="189"/>
      <c r="L27" s="189"/>
      <c r="M27" s="183">
        <f>600000000-150000000</f>
        <v>450000000</v>
      </c>
    </row>
    <row r="28" spans="1:13" x14ac:dyDescent="0.2">
      <c r="A28" s="37">
        <v>6</v>
      </c>
      <c r="B28" s="189" t="s">
        <v>955</v>
      </c>
      <c r="C28" s="190"/>
      <c r="D28" s="189"/>
      <c r="E28" s="189"/>
      <c r="F28" s="189"/>
      <c r="G28" s="195"/>
      <c r="H28" s="173" t="s">
        <v>282</v>
      </c>
      <c r="I28" s="189"/>
      <c r="J28" s="190"/>
      <c r="K28" s="189"/>
      <c r="L28" s="189"/>
      <c r="M28" s="91">
        <f>+M30</f>
        <v>100000000</v>
      </c>
    </row>
    <row r="29" spans="1:13" ht="25.5" x14ac:dyDescent="0.2">
      <c r="A29" s="37">
        <v>7</v>
      </c>
      <c r="B29" s="189"/>
      <c r="C29" s="190"/>
      <c r="D29" s="189" t="s">
        <v>879</v>
      </c>
      <c r="E29" s="196">
        <v>28</v>
      </c>
      <c r="F29" s="189" t="s">
        <v>1080</v>
      </c>
      <c r="G29" s="195"/>
      <c r="H29" s="80" t="s">
        <v>99</v>
      </c>
      <c r="I29" s="196">
        <v>116</v>
      </c>
      <c r="J29" s="190" t="s">
        <v>286</v>
      </c>
      <c r="K29" s="196">
        <v>116</v>
      </c>
      <c r="L29" s="189" t="s">
        <v>1330</v>
      </c>
      <c r="M29" s="194"/>
    </row>
    <row r="30" spans="1:13" ht="51" x14ac:dyDescent="0.2">
      <c r="A30" s="37">
        <v>8</v>
      </c>
      <c r="B30" s="189"/>
      <c r="C30" s="190" t="s">
        <v>10</v>
      </c>
      <c r="D30" s="189"/>
      <c r="E30" s="189"/>
      <c r="F30" s="189"/>
      <c r="G30" s="195">
        <v>296097</v>
      </c>
      <c r="H30" s="80" t="s">
        <v>481</v>
      </c>
      <c r="I30" s="189"/>
      <c r="J30" s="190"/>
      <c r="K30" s="189"/>
      <c r="L30" s="189"/>
      <c r="M30" s="183">
        <f>+M31</f>
        <v>100000000</v>
      </c>
    </row>
    <row r="31" spans="1:13" x14ac:dyDescent="0.2">
      <c r="A31" s="37">
        <v>9</v>
      </c>
      <c r="B31" s="189"/>
      <c r="C31" s="190"/>
      <c r="D31" s="189"/>
      <c r="E31" s="189"/>
      <c r="F31" s="189"/>
      <c r="G31" s="195"/>
      <c r="H31" s="80" t="s">
        <v>835</v>
      </c>
      <c r="I31" s="189"/>
      <c r="J31" s="190"/>
      <c r="K31" s="189"/>
      <c r="L31" s="189"/>
      <c r="M31" s="183">
        <f>180000000-80000000</f>
        <v>100000000</v>
      </c>
    </row>
    <row r="32" spans="1:13" x14ac:dyDescent="0.2">
      <c r="A32" s="37">
        <v>6</v>
      </c>
      <c r="B32" s="189" t="s">
        <v>285</v>
      </c>
      <c r="C32" s="190"/>
      <c r="D32" s="189"/>
      <c r="E32" s="189"/>
      <c r="F32" s="189"/>
      <c r="G32" s="195"/>
      <c r="H32" s="173" t="s">
        <v>439</v>
      </c>
      <c r="I32" s="189"/>
      <c r="J32" s="190"/>
      <c r="K32" s="189"/>
      <c r="L32" s="189"/>
      <c r="M32" s="91">
        <f>+M35</f>
        <v>100000000</v>
      </c>
    </row>
    <row r="33" spans="1:13" ht="25.5" x14ac:dyDescent="0.2">
      <c r="A33" s="37"/>
      <c r="B33" s="189"/>
      <c r="C33" s="190"/>
      <c r="D33" s="189" t="s">
        <v>879</v>
      </c>
      <c r="E33" s="196">
        <v>30</v>
      </c>
      <c r="F33" s="189" t="s">
        <v>1080</v>
      </c>
      <c r="G33" s="195"/>
      <c r="H33" s="80" t="s">
        <v>1386</v>
      </c>
      <c r="I33" s="196">
        <v>99</v>
      </c>
      <c r="J33" s="190" t="s">
        <v>179</v>
      </c>
      <c r="K33" s="196">
        <v>99</v>
      </c>
      <c r="L33" s="189" t="s">
        <v>1387</v>
      </c>
      <c r="M33" s="91"/>
    </row>
    <row r="34" spans="1:13" ht="25.5" x14ac:dyDescent="0.2">
      <c r="A34" s="37">
        <v>7</v>
      </c>
      <c r="B34" s="189"/>
      <c r="C34" s="190"/>
      <c r="D34" s="189" t="s">
        <v>879</v>
      </c>
      <c r="E34" s="196">
        <v>31</v>
      </c>
      <c r="F34" s="189" t="s">
        <v>1080</v>
      </c>
      <c r="G34" s="195"/>
      <c r="H34" s="80" t="s">
        <v>483</v>
      </c>
      <c r="I34" s="196">
        <v>4</v>
      </c>
      <c r="J34" s="190" t="s">
        <v>367</v>
      </c>
      <c r="K34" s="196">
        <v>2</v>
      </c>
      <c r="L34" s="189" t="s">
        <v>301</v>
      </c>
      <c r="M34" s="194"/>
    </row>
    <row r="35" spans="1:13" ht="51" x14ac:dyDescent="0.2">
      <c r="A35" s="37">
        <v>8</v>
      </c>
      <c r="B35" s="189"/>
      <c r="C35" s="190" t="s">
        <v>10</v>
      </c>
      <c r="D35" s="189"/>
      <c r="E35" s="189"/>
      <c r="F35" s="189"/>
      <c r="G35" s="195">
        <v>296097</v>
      </c>
      <c r="H35" s="80" t="s">
        <v>481</v>
      </c>
      <c r="I35" s="189"/>
      <c r="J35" s="190"/>
      <c r="K35" s="189"/>
      <c r="L35" s="189"/>
      <c r="M35" s="183">
        <f>+M36</f>
        <v>100000000</v>
      </c>
    </row>
    <row r="36" spans="1:13" x14ac:dyDescent="0.2">
      <c r="A36" s="37">
        <v>9</v>
      </c>
      <c r="B36" s="189"/>
      <c r="C36" s="190"/>
      <c r="D36" s="189"/>
      <c r="E36" s="189"/>
      <c r="F36" s="189"/>
      <c r="G36" s="195"/>
      <c r="H36" s="80" t="s">
        <v>835</v>
      </c>
      <c r="I36" s="189"/>
      <c r="J36" s="190"/>
      <c r="K36" s="189"/>
      <c r="L36" s="189"/>
      <c r="M36" s="183">
        <f>6000000+150000000-56000000</f>
        <v>100000000</v>
      </c>
    </row>
    <row r="37" spans="1:13" x14ac:dyDescent="0.2">
      <c r="A37" s="37"/>
      <c r="B37" s="189"/>
      <c r="C37" s="190"/>
      <c r="D37" s="189"/>
      <c r="E37" s="189"/>
      <c r="F37" s="189"/>
      <c r="G37" s="195"/>
      <c r="H37" s="80"/>
      <c r="I37" s="189"/>
      <c r="J37" s="190"/>
      <c r="K37" s="189"/>
      <c r="L37" s="189"/>
      <c r="M37" s="183"/>
    </row>
    <row r="38" spans="1:13" x14ac:dyDescent="0.2">
      <c r="A38" s="37">
        <v>4</v>
      </c>
      <c r="B38" s="189" t="s">
        <v>497</v>
      </c>
      <c r="C38" s="190"/>
      <c r="D38" s="189"/>
      <c r="E38" s="189"/>
      <c r="F38" s="189"/>
      <c r="G38" s="195"/>
      <c r="H38" s="173" t="s">
        <v>673</v>
      </c>
      <c r="I38" s="189"/>
      <c r="J38" s="190"/>
      <c r="K38" s="189"/>
      <c r="L38" s="189"/>
      <c r="M38" s="91">
        <f>+M44+M48+M54</f>
        <v>820000000</v>
      </c>
    </row>
    <row r="39" spans="1:13" ht="38.25" x14ac:dyDescent="0.2">
      <c r="A39" s="37"/>
      <c r="B39" s="189"/>
      <c r="C39" s="190"/>
      <c r="D39" s="189"/>
      <c r="E39" s="196">
        <v>10</v>
      </c>
      <c r="F39" s="189" t="s">
        <v>268</v>
      </c>
      <c r="G39" s="195"/>
      <c r="H39" s="80" t="s">
        <v>501</v>
      </c>
      <c r="I39" s="196">
        <v>100</v>
      </c>
      <c r="J39" s="190" t="s">
        <v>766</v>
      </c>
      <c r="K39" s="196"/>
      <c r="L39" s="189"/>
      <c r="M39" s="91"/>
    </row>
    <row r="40" spans="1:13" ht="25.5" x14ac:dyDescent="0.2">
      <c r="A40" s="37"/>
      <c r="B40" s="189"/>
      <c r="C40" s="190"/>
      <c r="D40" s="189"/>
      <c r="E40" s="196">
        <v>33</v>
      </c>
      <c r="F40" s="189" t="s">
        <v>268</v>
      </c>
      <c r="G40" s="195"/>
      <c r="H40" s="80" t="s">
        <v>239</v>
      </c>
      <c r="I40" s="196">
        <v>3</v>
      </c>
      <c r="J40" s="190" t="s">
        <v>50</v>
      </c>
      <c r="K40" s="196"/>
      <c r="L40" s="189"/>
      <c r="M40" s="91"/>
    </row>
    <row r="41" spans="1:13" ht="25.5" x14ac:dyDescent="0.2">
      <c r="A41" s="37"/>
      <c r="B41" s="189"/>
      <c r="C41" s="190"/>
      <c r="D41" s="189"/>
      <c r="E41" s="196">
        <v>39</v>
      </c>
      <c r="F41" s="189" t="s">
        <v>268</v>
      </c>
      <c r="G41" s="195"/>
      <c r="H41" s="80" t="s">
        <v>403</v>
      </c>
      <c r="I41" s="196">
        <v>35</v>
      </c>
      <c r="J41" s="190" t="s">
        <v>440</v>
      </c>
      <c r="K41" s="196"/>
      <c r="L41" s="189"/>
      <c r="M41" s="91"/>
    </row>
    <row r="42" spans="1:13" ht="38.25" x14ac:dyDescent="0.2">
      <c r="A42" s="37">
        <v>5</v>
      </c>
      <c r="B42" s="189"/>
      <c r="C42" s="190"/>
      <c r="D42" s="189"/>
      <c r="E42" s="196">
        <v>40</v>
      </c>
      <c r="F42" s="189" t="s">
        <v>268</v>
      </c>
      <c r="G42" s="195"/>
      <c r="H42" s="80" t="s">
        <v>121</v>
      </c>
      <c r="I42" s="196">
        <v>100</v>
      </c>
      <c r="J42" s="190" t="s">
        <v>766</v>
      </c>
      <c r="K42" s="196"/>
      <c r="L42" s="189"/>
      <c r="M42" s="194"/>
    </row>
    <row r="43" spans="1:13" x14ac:dyDescent="0.2">
      <c r="A43" s="37">
        <v>5</v>
      </c>
      <c r="B43" s="189"/>
      <c r="C43" s="190"/>
      <c r="D43" s="189"/>
      <c r="E43" s="175"/>
      <c r="F43" s="175"/>
      <c r="G43" s="175"/>
      <c r="H43" s="175"/>
      <c r="I43" s="175"/>
      <c r="J43" s="175"/>
      <c r="K43" s="175"/>
      <c r="L43" s="175"/>
      <c r="M43" s="194"/>
    </row>
    <row r="44" spans="1:13" x14ac:dyDescent="0.2">
      <c r="A44" s="37">
        <v>6</v>
      </c>
      <c r="B44" s="189" t="s">
        <v>497</v>
      </c>
      <c r="C44" s="190"/>
      <c r="D44" s="189"/>
      <c r="E44" s="189"/>
      <c r="F44" s="189"/>
      <c r="G44" s="195"/>
      <c r="H44" s="173" t="s">
        <v>316</v>
      </c>
      <c r="I44" s="189"/>
      <c r="J44" s="190"/>
      <c r="K44" s="189"/>
      <c r="L44" s="189"/>
      <c r="M44" s="91">
        <f>+M46</f>
        <v>600000000</v>
      </c>
    </row>
    <row r="45" spans="1:13" ht="38.25" x14ac:dyDescent="0.2">
      <c r="A45" s="37">
        <v>7</v>
      </c>
      <c r="B45" s="189"/>
      <c r="C45" s="190"/>
      <c r="D45" s="189" t="s">
        <v>852</v>
      </c>
      <c r="E45" s="196">
        <v>53</v>
      </c>
      <c r="F45" s="189" t="s">
        <v>1080</v>
      </c>
      <c r="G45" s="195"/>
      <c r="H45" s="80" t="s">
        <v>417</v>
      </c>
      <c r="I45" s="196">
        <v>160</v>
      </c>
      <c r="J45" s="190" t="s">
        <v>684</v>
      </c>
      <c r="K45" s="196">
        <v>73</v>
      </c>
      <c r="L45" s="189" t="s">
        <v>1260</v>
      </c>
      <c r="M45" s="194"/>
    </row>
    <row r="46" spans="1:13" ht="51" x14ac:dyDescent="0.2">
      <c r="A46" s="37">
        <v>8</v>
      </c>
      <c r="B46" s="189"/>
      <c r="C46" s="190" t="s">
        <v>10</v>
      </c>
      <c r="D46" s="189"/>
      <c r="E46" s="189"/>
      <c r="F46" s="189"/>
      <c r="G46" s="195">
        <v>296097</v>
      </c>
      <c r="H46" s="80" t="s">
        <v>481</v>
      </c>
      <c r="I46" s="189"/>
      <c r="J46" s="190"/>
      <c r="K46" s="189"/>
      <c r="L46" s="189"/>
      <c r="M46" s="183">
        <f>+M47</f>
        <v>600000000</v>
      </c>
    </row>
    <row r="47" spans="1:13" x14ac:dyDescent="0.2">
      <c r="A47" s="37">
        <v>9</v>
      </c>
      <c r="B47" s="189"/>
      <c r="C47" s="190"/>
      <c r="D47" s="189"/>
      <c r="E47" s="189"/>
      <c r="F47" s="189"/>
      <c r="G47" s="195"/>
      <c r="H47" s="80" t="s">
        <v>835</v>
      </c>
      <c r="I47" s="189"/>
      <c r="J47" s="190"/>
      <c r="K47" s="189"/>
      <c r="L47" s="189"/>
      <c r="M47" s="183">
        <f>720000000-120000000</f>
        <v>600000000</v>
      </c>
    </row>
    <row r="48" spans="1:13" x14ac:dyDescent="0.2">
      <c r="A48" s="37">
        <v>6</v>
      </c>
      <c r="B48" s="189" t="s">
        <v>955</v>
      </c>
      <c r="C48" s="190"/>
      <c r="D48" s="189"/>
      <c r="E48" s="189"/>
      <c r="F48" s="189"/>
      <c r="G48" s="195"/>
      <c r="H48" s="173" t="s">
        <v>282</v>
      </c>
      <c r="I48" s="189"/>
      <c r="J48" s="190"/>
      <c r="K48" s="189"/>
      <c r="L48" s="189"/>
      <c r="M48" s="91">
        <f>+M52</f>
        <v>40000000</v>
      </c>
    </row>
    <row r="49" spans="1:13" ht="38.25" x14ac:dyDescent="0.2">
      <c r="A49" s="37"/>
      <c r="B49" s="189"/>
      <c r="C49" s="190"/>
      <c r="D49" s="189" t="s">
        <v>682</v>
      </c>
      <c r="E49" s="196">
        <v>65</v>
      </c>
      <c r="F49" s="189" t="s">
        <v>1080</v>
      </c>
      <c r="G49" s="195"/>
      <c r="H49" s="80" t="s">
        <v>702</v>
      </c>
      <c r="I49" s="196">
        <v>100</v>
      </c>
      <c r="J49" s="190" t="s">
        <v>804</v>
      </c>
      <c r="K49" s="196">
        <v>100</v>
      </c>
      <c r="L49" s="189" t="s">
        <v>1165</v>
      </c>
      <c r="M49" s="91"/>
    </row>
    <row r="50" spans="1:13" ht="38.25" x14ac:dyDescent="0.2">
      <c r="A50" s="37">
        <v>7</v>
      </c>
      <c r="B50" s="189"/>
      <c r="C50" s="190"/>
      <c r="D50" s="189" t="s">
        <v>682</v>
      </c>
      <c r="E50" s="196">
        <v>66</v>
      </c>
      <c r="F50" s="189" t="s">
        <v>1080</v>
      </c>
      <c r="G50" s="195"/>
      <c r="H50" s="80" t="s">
        <v>853</v>
      </c>
      <c r="I50" s="196">
        <v>35</v>
      </c>
      <c r="J50" s="190" t="s">
        <v>286</v>
      </c>
      <c r="K50" s="196">
        <v>24</v>
      </c>
      <c r="L50" s="189" t="s">
        <v>1312</v>
      </c>
      <c r="M50" s="194"/>
    </row>
    <row r="51" spans="1:13" x14ac:dyDescent="0.2">
      <c r="A51" s="37">
        <v>7</v>
      </c>
      <c r="B51" s="189"/>
      <c r="C51" s="190"/>
      <c r="D51" s="175"/>
      <c r="E51" s="175"/>
      <c r="F51" s="175"/>
      <c r="G51" s="175"/>
      <c r="H51" s="175"/>
      <c r="I51" s="175"/>
      <c r="J51" s="175"/>
      <c r="K51" s="175"/>
      <c r="L51" s="175"/>
      <c r="M51" s="194"/>
    </row>
    <row r="52" spans="1:13" ht="51" x14ac:dyDescent="0.2">
      <c r="A52" s="37">
        <v>8</v>
      </c>
      <c r="B52" s="189"/>
      <c r="C52" s="190" t="s">
        <v>10</v>
      </c>
      <c r="D52" s="189"/>
      <c r="E52" s="189"/>
      <c r="F52" s="189"/>
      <c r="G52" s="195">
        <v>296097</v>
      </c>
      <c r="H52" s="80" t="s">
        <v>481</v>
      </c>
      <c r="I52" s="189"/>
      <c r="J52" s="190"/>
      <c r="K52" s="189"/>
      <c r="L52" s="189"/>
      <c r="M52" s="183">
        <f>+M53</f>
        <v>40000000</v>
      </c>
    </row>
    <row r="53" spans="1:13" x14ac:dyDescent="0.2">
      <c r="A53" s="37">
        <v>9</v>
      </c>
      <c r="B53" s="189"/>
      <c r="C53" s="190"/>
      <c r="D53" s="189"/>
      <c r="E53" s="189"/>
      <c r="F53" s="189"/>
      <c r="G53" s="195"/>
      <c r="H53" s="80" t="s">
        <v>835</v>
      </c>
      <c r="I53" s="189"/>
      <c r="J53" s="190"/>
      <c r="K53" s="189"/>
      <c r="L53" s="189"/>
      <c r="M53" s="183">
        <f>6000000+50000000-16000000</f>
        <v>40000000</v>
      </c>
    </row>
    <row r="54" spans="1:13" x14ac:dyDescent="0.2">
      <c r="A54" s="37">
        <v>6</v>
      </c>
      <c r="B54" s="189" t="s">
        <v>285</v>
      </c>
      <c r="C54" s="190"/>
      <c r="D54" s="189"/>
      <c r="E54" s="189"/>
      <c r="F54" s="189"/>
      <c r="G54" s="195"/>
      <c r="H54" s="173" t="s">
        <v>439</v>
      </c>
      <c r="I54" s="189"/>
      <c r="J54" s="190"/>
      <c r="K54" s="189"/>
      <c r="L54" s="189"/>
      <c r="M54" s="91">
        <f>+M58</f>
        <v>180000000</v>
      </c>
    </row>
    <row r="55" spans="1:13" ht="38.25" x14ac:dyDescent="0.2">
      <c r="A55" s="37"/>
      <c r="B55" s="189"/>
      <c r="C55" s="190"/>
      <c r="D55" s="189" t="s">
        <v>3</v>
      </c>
      <c r="E55" s="189" t="s">
        <v>1388</v>
      </c>
      <c r="F55" s="189" t="s">
        <v>1080</v>
      </c>
      <c r="G55" s="195"/>
      <c r="H55" s="177" t="s">
        <v>1389</v>
      </c>
      <c r="I55" s="189" t="s">
        <v>1330</v>
      </c>
      <c r="J55" s="190" t="s">
        <v>286</v>
      </c>
      <c r="K55" s="189" t="s">
        <v>1390</v>
      </c>
      <c r="L55" s="189" t="s">
        <v>1391</v>
      </c>
      <c r="M55" s="91"/>
    </row>
    <row r="56" spans="1:13" ht="51" x14ac:dyDescent="0.2">
      <c r="A56" s="37">
        <v>7</v>
      </c>
      <c r="B56" s="189"/>
      <c r="C56" s="190"/>
      <c r="D56" s="189" t="s">
        <v>3</v>
      </c>
      <c r="E56" s="196">
        <v>69</v>
      </c>
      <c r="F56" s="189" t="s">
        <v>1080</v>
      </c>
      <c r="G56" s="195"/>
      <c r="H56" s="80" t="s">
        <v>1062</v>
      </c>
      <c r="I56" s="196">
        <v>116</v>
      </c>
      <c r="J56" s="190" t="s">
        <v>286</v>
      </c>
      <c r="K56" s="196">
        <v>13</v>
      </c>
      <c r="L56" s="189" t="s">
        <v>1330</v>
      </c>
      <c r="M56" s="194"/>
    </row>
    <row r="57" spans="1:13" ht="25.5" x14ac:dyDescent="0.2">
      <c r="A57" s="37">
        <v>7</v>
      </c>
      <c r="B57" s="189"/>
      <c r="C57" s="190"/>
      <c r="D57" s="189" t="s">
        <v>3</v>
      </c>
      <c r="E57" s="196">
        <v>70</v>
      </c>
      <c r="F57" s="189" t="s">
        <v>1080</v>
      </c>
      <c r="G57" s="195"/>
      <c r="H57" s="80" t="s">
        <v>876</v>
      </c>
      <c r="I57" s="196">
        <v>1</v>
      </c>
      <c r="J57" s="190" t="s">
        <v>223</v>
      </c>
      <c r="K57" s="196" t="s">
        <v>1392</v>
      </c>
      <c r="L57" s="189" t="s">
        <v>1255</v>
      </c>
      <c r="M57" s="194"/>
    </row>
    <row r="58" spans="1:13" ht="49.15" customHeight="1" x14ac:dyDescent="0.2">
      <c r="A58" s="37">
        <v>8</v>
      </c>
      <c r="B58" s="189"/>
      <c r="C58" s="190" t="s">
        <v>10</v>
      </c>
      <c r="D58" s="189"/>
      <c r="E58" s="189"/>
      <c r="F58" s="189"/>
      <c r="G58" s="195">
        <v>296097</v>
      </c>
      <c r="H58" s="80" t="s">
        <v>481</v>
      </c>
      <c r="I58" s="189"/>
      <c r="J58" s="190"/>
      <c r="K58" s="189"/>
      <c r="L58" s="189"/>
      <c r="M58" s="183">
        <f>+M59</f>
        <v>180000000</v>
      </c>
    </row>
    <row r="59" spans="1:13" x14ac:dyDescent="0.2">
      <c r="A59" s="37">
        <v>9</v>
      </c>
      <c r="B59" s="189"/>
      <c r="C59" s="190"/>
      <c r="D59" s="189"/>
      <c r="E59" s="189"/>
      <c r="F59" s="189"/>
      <c r="G59" s="195"/>
      <c r="H59" s="80" t="s">
        <v>835</v>
      </c>
      <c r="I59" s="189"/>
      <c r="J59" s="190"/>
      <c r="K59" s="189"/>
      <c r="L59" s="189"/>
      <c r="M59" s="183">
        <f>30000000+150000000+150000000-130000000-20000000</f>
        <v>180000000</v>
      </c>
    </row>
    <row r="60" spans="1:13" x14ac:dyDescent="0.2">
      <c r="A60" s="37"/>
      <c r="B60" s="189"/>
      <c r="C60" s="190"/>
      <c r="D60" s="189"/>
      <c r="E60" s="189"/>
      <c r="F60" s="189"/>
      <c r="G60" s="195"/>
      <c r="H60" s="80"/>
      <c r="I60" s="189"/>
      <c r="J60" s="190"/>
      <c r="K60" s="189"/>
      <c r="L60" s="189"/>
      <c r="M60" s="183"/>
    </row>
    <row r="61" spans="1:13" x14ac:dyDescent="0.2">
      <c r="A61" s="37">
        <v>4</v>
      </c>
      <c r="B61" s="189" t="s">
        <v>955</v>
      </c>
      <c r="C61" s="190"/>
      <c r="D61" s="189"/>
      <c r="E61" s="189"/>
      <c r="F61" s="189"/>
      <c r="G61" s="195"/>
      <c r="H61" s="173" t="s">
        <v>405</v>
      </c>
      <c r="I61" s="189"/>
      <c r="J61" s="190"/>
      <c r="K61" s="189"/>
      <c r="L61" s="189"/>
      <c r="M61" s="91">
        <f>+M66+M70+M74</f>
        <v>335000000</v>
      </c>
    </row>
    <row r="62" spans="1:13" ht="25.5" x14ac:dyDescent="0.2">
      <c r="A62" s="37"/>
      <c r="B62" s="189"/>
      <c r="C62" s="190"/>
      <c r="D62" s="189"/>
      <c r="E62" s="196">
        <v>72</v>
      </c>
      <c r="F62" s="189" t="s">
        <v>268</v>
      </c>
      <c r="G62" s="195"/>
      <c r="H62" s="80" t="s">
        <v>1051</v>
      </c>
      <c r="I62" s="196">
        <v>5</v>
      </c>
      <c r="J62" s="190" t="s">
        <v>50</v>
      </c>
      <c r="K62" s="196"/>
      <c r="L62" s="189"/>
      <c r="M62" s="91"/>
    </row>
    <row r="63" spans="1:13" ht="25.5" x14ac:dyDescent="0.2">
      <c r="A63" s="37"/>
      <c r="B63" s="189"/>
      <c r="C63" s="190"/>
      <c r="D63" s="189"/>
      <c r="E63" s="196">
        <v>74</v>
      </c>
      <c r="F63" s="189" t="s">
        <v>268</v>
      </c>
      <c r="G63" s="195"/>
      <c r="H63" s="80" t="s">
        <v>828</v>
      </c>
      <c r="I63" s="196">
        <v>60</v>
      </c>
      <c r="J63" s="190" t="s">
        <v>440</v>
      </c>
      <c r="K63" s="196"/>
      <c r="L63" s="189"/>
      <c r="M63" s="91"/>
    </row>
    <row r="64" spans="1:13" ht="25.5" x14ac:dyDescent="0.2">
      <c r="A64" s="37">
        <v>5</v>
      </c>
      <c r="B64" s="189"/>
      <c r="C64" s="190"/>
      <c r="D64" s="189"/>
      <c r="E64" s="196">
        <v>78</v>
      </c>
      <c r="F64" s="189" t="s">
        <v>268</v>
      </c>
      <c r="G64" s="195"/>
      <c r="H64" s="80" t="s">
        <v>854</v>
      </c>
      <c r="I64" s="197">
        <v>1.95</v>
      </c>
      <c r="J64" s="190" t="s">
        <v>440</v>
      </c>
      <c r="K64" s="196"/>
      <c r="L64" s="189"/>
      <c r="M64" s="194"/>
    </row>
    <row r="65" spans="1:13" x14ac:dyDescent="0.2">
      <c r="A65" s="37">
        <v>5</v>
      </c>
      <c r="B65" s="189"/>
      <c r="C65" s="190"/>
      <c r="D65" s="189"/>
      <c r="E65" s="175"/>
      <c r="F65" s="175"/>
      <c r="G65" s="175"/>
      <c r="H65" s="175"/>
      <c r="I65" s="175"/>
      <c r="J65" s="175"/>
      <c r="K65" s="175"/>
      <c r="L65" s="175"/>
      <c r="M65" s="194"/>
    </row>
    <row r="66" spans="1:13" x14ac:dyDescent="0.2">
      <c r="A66" s="37">
        <v>6</v>
      </c>
      <c r="B66" s="189" t="s">
        <v>857</v>
      </c>
      <c r="C66" s="190"/>
      <c r="D66" s="189"/>
      <c r="E66" s="189"/>
      <c r="F66" s="189"/>
      <c r="G66" s="195"/>
      <c r="H66" s="173" t="s">
        <v>839</v>
      </c>
      <c r="I66" s="189"/>
      <c r="J66" s="190"/>
      <c r="K66" s="189"/>
      <c r="L66" s="189"/>
      <c r="M66" s="91">
        <f>+M68</f>
        <v>100000000</v>
      </c>
    </row>
    <row r="67" spans="1:13" ht="25.5" x14ac:dyDescent="0.2">
      <c r="A67" s="37">
        <v>7</v>
      </c>
      <c r="B67" s="189"/>
      <c r="C67" s="190"/>
      <c r="D67" s="189" t="s">
        <v>226</v>
      </c>
      <c r="E67" s="196">
        <v>82</v>
      </c>
      <c r="F67" s="189" t="s">
        <v>1080</v>
      </c>
      <c r="G67" s="195"/>
      <c r="H67" s="80" t="s">
        <v>720</v>
      </c>
      <c r="I67" s="196">
        <v>1</v>
      </c>
      <c r="J67" s="190" t="s">
        <v>934</v>
      </c>
      <c r="K67" s="196">
        <v>1</v>
      </c>
      <c r="L67" s="189" t="s">
        <v>301</v>
      </c>
      <c r="M67" s="194"/>
    </row>
    <row r="68" spans="1:13" ht="51" x14ac:dyDescent="0.2">
      <c r="A68" s="37">
        <v>8</v>
      </c>
      <c r="B68" s="189"/>
      <c r="C68" s="190" t="s">
        <v>10</v>
      </c>
      <c r="D68" s="189"/>
      <c r="E68" s="189"/>
      <c r="F68" s="189"/>
      <c r="G68" s="195">
        <v>296097</v>
      </c>
      <c r="H68" s="80" t="s">
        <v>481</v>
      </c>
      <c r="I68" s="189"/>
      <c r="J68" s="190"/>
      <c r="K68" s="189"/>
      <c r="L68" s="189"/>
      <c r="M68" s="183">
        <f>+M69</f>
        <v>100000000</v>
      </c>
    </row>
    <row r="69" spans="1:13" x14ac:dyDescent="0.2">
      <c r="A69" s="37">
        <v>9</v>
      </c>
      <c r="B69" s="189"/>
      <c r="C69" s="190"/>
      <c r="D69" s="189"/>
      <c r="E69" s="189"/>
      <c r="F69" s="189"/>
      <c r="G69" s="195"/>
      <c r="H69" s="80" t="s">
        <v>835</v>
      </c>
      <c r="I69" s="189"/>
      <c r="J69" s="190"/>
      <c r="K69" s="189"/>
      <c r="L69" s="189"/>
      <c r="M69" s="183">
        <f>180000000-80000000</f>
        <v>100000000</v>
      </c>
    </row>
    <row r="70" spans="1:13" x14ac:dyDescent="0.2">
      <c r="A70" s="37">
        <v>6</v>
      </c>
      <c r="B70" s="189" t="s">
        <v>497</v>
      </c>
      <c r="C70" s="190"/>
      <c r="D70" s="189"/>
      <c r="E70" s="189"/>
      <c r="F70" s="189"/>
      <c r="G70" s="195"/>
      <c r="H70" s="173" t="s">
        <v>316</v>
      </c>
      <c r="I70" s="189"/>
      <c r="J70" s="190"/>
      <c r="K70" s="189"/>
      <c r="L70" s="189"/>
      <c r="M70" s="91">
        <f>+M72</f>
        <v>100000000</v>
      </c>
    </row>
    <row r="71" spans="1:13" ht="27.6" customHeight="1" x14ac:dyDescent="0.2">
      <c r="A71" s="37">
        <v>7</v>
      </c>
      <c r="B71" s="189"/>
      <c r="C71" s="190"/>
      <c r="D71" s="189" t="s">
        <v>513</v>
      </c>
      <c r="E71" s="196">
        <v>97</v>
      </c>
      <c r="F71" s="189" t="s">
        <v>1080</v>
      </c>
      <c r="G71" s="195"/>
      <c r="H71" s="80" t="s">
        <v>875</v>
      </c>
      <c r="I71" s="196">
        <v>160</v>
      </c>
      <c r="J71" s="190" t="s">
        <v>684</v>
      </c>
      <c r="K71" s="196">
        <v>72</v>
      </c>
      <c r="L71" s="189" t="s">
        <v>1260</v>
      </c>
      <c r="M71" s="194"/>
    </row>
    <row r="72" spans="1:13" ht="47.45" customHeight="1" x14ac:dyDescent="0.2">
      <c r="A72" s="37">
        <v>8</v>
      </c>
      <c r="B72" s="189"/>
      <c r="C72" s="190" t="s">
        <v>10</v>
      </c>
      <c r="D72" s="189"/>
      <c r="E72" s="189"/>
      <c r="F72" s="189"/>
      <c r="G72" s="195">
        <v>296097</v>
      </c>
      <c r="H72" s="80" t="s">
        <v>481</v>
      </c>
      <c r="I72" s="189"/>
      <c r="J72" s="190"/>
      <c r="K72" s="189"/>
      <c r="L72" s="189"/>
      <c r="M72" s="183">
        <f>+M73</f>
        <v>100000000</v>
      </c>
    </row>
    <row r="73" spans="1:13" x14ac:dyDescent="0.2">
      <c r="A73" s="37">
        <v>9</v>
      </c>
      <c r="B73" s="189"/>
      <c r="C73" s="190"/>
      <c r="D73" s="189"/>
      <c r="E73" s="189"/>
      <c r="F73" s="189"/>
      <c r="G73" s="195"/>
      <c r="H73" s="80" t="s">
        <v>835</v>
      </c>
      <c r="I73" s="189"/>
      <c r="J73" s="190"/>
      <c r="K73" s="189"/>
      <c r="L73" s="189"/>
      <c r="M73" s="183">
        <f>265000000-165000000</f>
        <v>100000000</v>
      </c>
    </row>
    <row r="74" spans="1:13" x14ac:dyDescent="0.2">
      <c r="A74" s="37">
        <v>6</v>
      </c>
      <c r="B74" s="189" t="s">
        <v>285</v>
      </c>
      <c r="C74" s="190"/>
      <c r="D74" s="189"/>
      <c r="E74" s="189"/>
      <c r="F74" s="189"/>
      <c r="G74" s="195"/>
      <c r="H74" s="173" t="s">
        <v>439</v>
      </c>
      <c r="I74" s="189"/>
      <c r="J74" s="190"/>
      <c r="K74" s="189"/>
      <c r="L74" s="189"/>
      <c r="M74" s="91">
        <f>+M81</f>
        <v>135000000</v>
      </c>
    </row>
    <row r="75" spans="1:13" x14ac:dyDescent="0.2">
      <c r="A75" s="37"/>
      <c r="B75" s="189"/>
      <c r="C75" s="190"/>
      <c r="D75" s="189"/>
      <c r="E75" s="189"/>
      <c r="F75" s="189"/>
      <c r="G75" s="195"/>
      <c r="H75" s="173"/>
      <c r="I75" s="189"/>
      <c r="J75" s="190"/>
      <c r="K75" s="189"/>
      <c r="L75" s="189"/>
      <c r="M75" s="91"/>
    </row>
    <row r="76" spans="1:13" ht="25.5" x14ac:dyDescent="0.2">
      <c r="A76" s="37"/>
      <c r="B76" s="189"/>
      <c r="C76" s="190"/>
      <c r="D76" s="189" t="s">
        <v>627</v>
      </c>
      <c r="E76" s="189" t="s">
        <v>1393</v>
      </c>
      <c r="F76" s="189" t="s">
        <v>1080</v>
      </c>
      <c r="G76" s="195"/>
      <c r="H76" s="177" t="s">
        <v>1394</v>
      </c>
      <c r="I76" s="189" t="s">
        <v>1227</v>
      </c>
      <c r="J76" s="190" t="s">
        <v>179</v>
      </c>
      <c r="K76" s="189" t="s">
        <v>1395</v>
      </c>
      <c r="L76" s="189" t="s">
        <v>1395</v>
      </c>
      <c r="M76" s="91"/>
    </row>
    <row r="77" spans="1:13" ht="25.5" x14ac:dyDescent="0.2">
      <c r="A77" s="37"/>
      <c r="B77" s="189"/>
      <c r="C77" s="190"/>
      <c r="D77" s="189" t="s">
        <v>627</v>
      </c>
      <c r="E77" s="196">
        <v>110</v>
      </c>
      <c r="F77" s="189" t="s">
        <v>1080</v>
      </c>
      <c r="G77" s="195"/>
      <c r="H77" s="80" t="s">
        <v>595</v>
      </c>
      <c r="I77" s="196">
        <v>2000</v>
      </c>
      <c r="J77" s="190" t="s">
        <v>816</v>
      </c>
      <c r="K77" s="196">
        <v>1086</v>
      </c>
      <c r="L77" s="189" t="s">
        <v>1306</v>
      </c>
      <c r="M77" s="91"/>
    </row>
    <row r="78" spans="1:13" ht="25.5" x14ac:dyDescent="0.2">
      <c r="A78" s="37">
        <v>7</v>
      </c>
      <c r="B78" s="189"/>
      <c r="C78" s="190"/>
      <c r="D78" s="189" t="s">
        <v>627</v>
      </c>
      <c r="E78" s="196">
        <v>111</v>
      </c>
      <c r="F78" s="189" t="s">
        <v>1080</v>
      </c>
      <c r="G78" s="195"/>
      <c r="H78" s="80" t="s">
        <v>589</v>
      </c>
      <c r="I78" s="196">
        <v>1</v>
      </c>
      <c r="J78" s="190" t="s">
        <v>223</v>
      </c>
      <c r="K78" s="196" t="s">
        <v>1182</v>
      </c>
      <c r="L78" s="189" t="s">
        <v>1255</v>
      </c>
      <c r="M78" s="194"/>
    </row>
    <row r="79" spans="1:13" ht="25.5" x14ac:dyDescent="0.2">
      <c r="A79" s="37">
        <v>7</v>
      </c>
      <c r="B79" s="189"/>
      <c r="C79" s="190"/>
      <c r="D79" s="189" t="s">
        <v>627</v>
      </c>
      <c r="E79" s="196">
        <v>112</v>
      </c>
      <c r="F79" s="189" t="s">
        <v>1080</v>
      </c>
      <c r="G79" s="195"/>
      <c r="H79" s="80" t="s">
        <v>306</v>
      </c>
      <c r="I79" s="196">
        <v>1</v>
      </c>
      <c r="J79" s="190" t="s">
        <v>934</v>
      </c>
      <c r="K79" s="196" t="s">
        <v>1186</v>
      </c>
      <c r="L79" s="189" t="s">
        <v>1255</v>
      </c>
      <c r="M79" s="194"/>
    </row>
    <row r="80" spans="1:13" x14ac:dyDescent="0.2">
      <c r="A80" s="37">
        <v>7</v>
      </c>
      <c r="B80" s="189"/>
      <c r="C80" s="190"/>
      <c r="D80" s="175"/>
      <c r="E80" s="175"/>
      <c r="F80" s="175"/>
      <c r="G80" s="175"/>
      <c r="H80" s="175"/>
      <c r="I80" s="175"/>
      <c r="J80" s="175"/>
      <c r="K80" s="175"/>
      <c r="L80" s="175"/>
      <c r="M80" s="194"/>
    </row>
    <row r="81" spans="1:13" ht="51" x14ac:dyDescent="0.2">
      <c r="A81" s="37">
        <v>8</v>
      </c>
      <c r="B81" s="189"/>
      <c r="C81" s="190" t="s">
        <v>10</v>
      </c>
      <c r="D81" s="189"/>
      <c r="E81" s="189"/>
      <c r="F81" s="189"/>
      <c r="G81" s="195">
        <v>296097</v>
      </c>
      <c r="H81" s="80" t="s">
        <v>481</v>
      </c>
      <c r="I81" s="189"/>
      <c r="J81" s="190"/>
      <c r="K81" s="189"/>
      <c r="L81" s="189"/>
      <c r="M81" s="183">
        <f>+M82</f>
        <v>135000000</v>
      </c>
    </row>
    <row r="82" spans="1:13" x14ac:dyDescent="0.2">
      <c r="A82" s="37">
        <v>9</v>
      </c>
      <c r="B82" s="189"/>
      <c r="C82" s="190"/>
      <c r="D82" s="189"/>
      <c r="E82" s="189"/>
      <c r="F82" s="189"/>
      <c r="G82" s="195"/>
      <c r="H82" s="80" t="s">
        <v>835</v>
      </c>
      <c r="I82" s="189"/>
      <c r="J82" s="190"/>
      <c r="K82" s="189"/>
      <c r="L82" s="189"/>
      <c r="M82" s="183">
        <f>20000000+15000000+50000000+50000000</f>
        <v>135000000</v>
      </c>
    </row>
    <row r="83" spans="1:13" x14ac:dyDescent="0.2">
      <c r="A83" s="37"/>
      <c r="B83" s="189"/>
      <c r="C83" s="190"/>
      <c r="D83" s="189"/>
      <c r="E83" s="189"/>
      <c r="F83" s="189"/>
      <c r="G83" s="195"/>
      <c r="H83" s="80"/>
      <c r="I83" s="189"/>
      <c r="J83" s="190"/>
      <c r="K83" s="189"/>
      <c r="L83" s="189"/>
      <c r="M83" s="183"/>
    </row>
    <row r="84" spans="1:13" x14ac:dyDescent="0.2">
      <c r="A84" s="37">
        <v>4</v>
      </c>
      <c r="B84" s="189" t="s">
        <v>285</v>
      </c>
      <c r="C84" s="190"/>
      <c r="D84" s="189"/>
      <c r="E84" s="189"/>
      <c r="F84" s="189"/>
      <c r="G84" s="195"/>
      <c r="H84" s="173" t="s">
        <v>548</v>
      </c>
      <c r="I84" s="189"/>
      <c r="J84" s="190"/>
      <c r="K84" s="189"/>
      <c r="L84" s="189"/>
      <c r="M84" s="91">
        <f>+M88+M98+M110</f>
        <v>620000000</v>
      </c>
    </row>
    <row r="85" spans="1:13" ht="25.5" x14ac:dyDescent="0.2">
      <c r="A85" s="37"/>
      <c r="B85" s="189"/>
      <c r="C85" s="190"/>
      <c r="D85" s="189"/>
      <c r="E85" s="196">
        <v>117</v>
      </c>
      <c r="F85" s="189" t="s">
        <v>268</v>
      </c>
      <c r="G85" s="195"/>
      <c r="H85" s="80" t="s">
        <v>773</v>
      </c>
      <c r="I85" s="196">
        <v>15</v>
      </c>
      <c r="J85" s="190" t="s">
        <v>964</v>
      </c>
      <c r="K85" s="196"/>
      <c r="L85" s="189"/>
      <c r="M85" s="91"/>
    </row>
    <row r="86" spans="1:13" ht="25.5" x14ac:dyDescent="0.2">
      <c r="A86" s="37"/>
      <c r="B86" s="189"/>
      <c r="C86" s="190"/>
      <c r="D86" s="189"/>
      <c r="E86" s="196">
        <v>118</v>
      </c>
      <c r="F86" s="189" t="s">
        <v>268</v>
      </c>
      <c r="G86" s="195"/>
      <c r="H86" s="80" t="s">
        <v>654</v>
      </c>
      <c r="I86" s="196">
        <v>35</v>
      </c>
      <c r="J86" s="190" t="s">
        <v>440</v>
      </c>
      <c r="K86" s="196"/>
      <c r="L86" s="189"/>
      <c r="M86" s="91"/>
    </row>
    <row r="87" spans="1:13" ht="25.5" x14ac:dyDescent="0.2">
      <c r="A87" s="37">
        <v>5</v>
      </c>
      <c r="B87" s="189"/>
      <c r="C87" s="190"/>
      <c r="D87" s="189"/>
      <c r="E87" s="196">
        <v>119</v>
      </c>
      <c r="F87" s="189" t="s">
        <v>268</v>
      </c>
      <c r="G87" s="195"/>
      <c r="H87" s="174" t="s">
        <v>995</v>
      </c>
      <c r="I87" s="196">
        <v>4.7</v>
      </c>
      <c r="J87" s="190" t="s">
        <v>440</v>
      </c>
      <c r="K87" s="196"/>
      <c r="L87" s="189"/>
      <c r="M87" s="194"/>
    </row>
    <row r="88" spans="1:13" x14ac:dyDescent="0.2">
      <c r="A88" s="37">
        <v>6</v>
      </c>
      <c r="B88" s="189" t="s">
        <v>497</v>
      </c>
      <c r="C88" s="190"/>
      <c r="D88" s="189"/>
      <c r="E88" s="189"/>
      <c r="F88" s="189"/>
      <c r="G88" s="195"/>
      <c r="H88" s="173" t="s">
        <v>316</v>
      </c>
      <c r="I88" s="189"/>
      <c r="J88" s="190"/>
      <c r="K88" s="189"/>
      <c r="L88" s="189"/>
      <c r="M88" s="91">
        <f>+M94+M96</f>
        <v>320000000</v>
      </c>
    </row>
    <row r="89" spans="1:13" ht="25.5" x14ac:dyDescent="0.2">
      <c r="A89" s="37">
        <v>7</v>
      </c>
      <c r="B89" s="189"/>
      <c r="C89" s="190"/>
      <c r="D89" s="189" t="s">
        <v>253</v>
      </c>
      <c r="E89" s="196">
        <v>125</v>
      </c>
      <c r="F89" s="189" t="s">
        <v>1080</v>
      </c>
      <c r="G89" s="195"/>
      <c r="H89" s="80" t="s">
        <v>373</v>
      </c>
      <c r="I89" s="196">
        <v>400</v>
      </c>
      <c r="J89" s="190" t="s">
        <v>816</v>
      </c>
      <c r="K89" s="196">
        <v>150</v>
      </c>
      <c r="L89" s="189" t="s">
        <v>1165</v>
      </c>
      <c r="M89" s="194"/>
    </row>
    <row r="90" spans="1:13" ht="25.5" x14ac:dyDescent="0.2">
      <c r="A90" s="37"/>
      <c r="B90" s="189"/>
      <c r="C90" s="190"/>
      <c r="D90" s="189" t="s">
        <v>1087</v>
      </c>
      <c r="E90" s="196">
        <v>126</v>
      </c>
      <c r="F90" s="189" t="s">
        <v>1080</v>
      </c>
      <c r="G90" s="195"/>
      <c r="H90" s="80" t="s">
        <v>1017</v>
      </c>
      <c r="I90" s="196">
        <v>160</v>
      </c>
      <c r="J90" s="190" t="s">
        <v>684</v>
      </c>
      <c r="K90" s="196">
        <v>72</v>
      </c>
      <c r="L90" s="189" t="s">
        <v>1260</v>
      </c>
      <c r="M90" s="194"/>
    </row>
    <row r="91" spans="1:13" ht="25.5" x14ac:dyDescent="0.2">
      <c r="A91" s="37">
        <v>7</v>
      </c>
      <c r="B91" s="189"/>
      <c r="C91" s="190"/>
      <c r="D91" s="189" t="s">
        <v>253</v>
      </c>
      <c r="E91" s="196">
        <v>127</v>
      </c>
      <c r="F91" s="189" t="s">
        <v>1080</v>
      </c>
      <c r="G91" s="195"/>
      <c r="H91" s="80" t="s">
        <v>652</v>
      </c>
      <c r="I91" s="196">
        <v>2</v>
      </c>
      <c r="J91" s="190" t="s">
        <v>799</v>
      </c>
      <c r="K91" s="196">
        <v>2</v>
      </c>
      <c r="L91" s="189" t="s">
        <v>1025</v>
      </c>
      <c r="M91" s="194"/>
    </row>
    <row r="92" spans="1:13" ht="25.5" x14ac:dyDescent="0.2">
      <c r="A92" s="37"/>
      <c r="B92" s="189"/>
      <c r="C92" s="190"/>
      <c r="D92" s="189" t="s">
        <v>253</v>
      </c>
      <c r="E92" s="196">
        <v>139</v>
      </c>
      <c r="F92" s="189" t="s">
        <v>1116</v>
      </c>
      <c r="G92" s="195"/>
      <c r="H92" s="80" t="s">
        <v>1130</v>
      </c>
      <c r="I92" s="196">
        <v>20</v>
      </c>
      <c r="J92" s="190" t="s">
        <v>195</v>
      </c>
      <c r="K92" s="196">
        <v>0</v>
      </c>
      <c r="L92" s="189" t="s">
        <v>1176</v>
      </c>
      <c r="M92" s="194"/>
    </row>
    <row r="93" spans="1:13" x14ac:dyDescent="0.2">
      <c r="A93" s="37">
        <v>7</v>
      </c>
      <c r="B93" s="189"/>
      <c r="C93" s="190"/>
      <c r="D93" s="175"/>
      <c r="E93" s="175"/>
      <c r="F93" s="175"/>
      <c r="G93" s="175"/>
      <c r="H93" s="175"/>
      <c r="I93" s="175"/>
      <c r="J93" s="175"/>
      <c r="K93" s="175"/>
      <c r="L93" s="175"/>
      <c r="M93" s="194"/>
    </row>
    <row r="94" spans="1:13" ht="51" x14ac:dyDescent="0.2">
      <c r="A94" s="37">
        <v>8</v>
      </c>
      <c r="B94" s="189"/>
      <c r="C94" s="190" t="s">
        <v>1271</v>
      </c>
      <c r="D94" s="189"/>
      <c r="E94" s="189"/>
      <c r="F94" s="189"/>
      <c r="G94" s="195">
        <v>296010</v>
      </c>
      <c r="H94" s="80" t="s">
        <v>1277</v>
      </c>
      <c r="I94" s="189"/>
      <c r="J94" s="190"/>
      <c r="K94" s="189"/>
      <c r="L94" s="189"/>
      <c r="M94" s="183">
        <f>+M95</f>
        <v>120000000</v>
      </c>
    </row>
    <row r="95" spans="1:13" x14ac:dyDescent="0.2">
      <c r="A95" s="37">
        <v>9</v>
      </c>
      <c r="B95" s="189"/>
      <c r="C95" s="190"/>
      <c r="D95" s="189"/>
      <c r="E95" s="189"/>
      <c r="F95" s="189"/>
      <c r="G95" s="195"/>
      <c r="H95" s="80" t="s">
        <v>835</v>
      </c>
      <c r="I95" s="189"/>
      <c r="J95" s="190"/>
      <c r="K95" s="189"/>
      <c r="L95" s="189"/>
      <c r="M95" s="183">
        <v>120000000</v>
      </c>
    </row>
    <row r="96" spans="1:13" ht="38.25" x14ac:dyDescent="0.2">
      <c r="A96" s="37"/>
      <c r="B96" s="189"/>
      <c r="C96" s="190" t="s">
        <v>10</v>
      </c>
      <c r="D96" s="189"/>
      <c r="E96" s="189"/>
      <c r="F96" s="189"/>
      <c r="G96" s="195">
        <v>296010</v>
      </c>
      <c r="H96" s="80" t="s">
        <v>86</v>
      </c>
      <c r="I96" s="189"/>
      <c r="J96" s="190"/>
      <c r="K96" s="189"/>
      <c r="L96" s="189"/>
      <c r="M96" s="183">
        <f>+M97</f>
        <v>200000000</v>
      </c>
    </row>
    <row r="97" spans="1:13" x14ac:dyDescent="0.2">
      <c r="A97" s="37"/>
      <c r="B97" s="189"/>
      <c r="C97" s="190"/>
      <c r="D97" s="189"/>
      <c r="E97" s="189"/>
      <c r="F97" s="189"/>
      <c r="G97" s="195"/>
      <c r="H97" s="80" t="s">
        <v>835</v>
      </c>
      <c r="I97" s="189"/>
      <c r="J97" s="190"/>
      <c r="K97" s="189"/>
      <c r="L97" s="189"/>
      <c r="M97" s="183">
        <f>100000000+183000000+24000000-107000000</f>
        <v>200000000</v>
      </c>
    </row>
    <row r="98" spans="1:13" x14ac:dyDescent="0.2">
      <c r="A98" s="37">
        <v>6</v>
      </c>
      <c r="B98" s="189" t="s">
        <v>955</v>
      </c>
      <c r="C98" s="190"/>
      <c r="D98" s="189"/>
      <c r="E98" s="189"/>
      <c r="F98" s="189"/>
      <c r="G98" s="195"/>
      <c r="H98" s="173" t="s">
        <v>282</v>
      </c>
      <c r="I98" s="189"/>
      <c r="J98" s="190"/>
      <c r="K98" s="189"/>
      <c r="L98" s="189"/>
      <c r="M98" s="91">
        <f>+M108</f>
        <v>200000000</v>
      </c>
    </row>
    <row r="99" spans="1:13" ht="25.5" x14ac:dyDescent="0.2">
      <c r="A99" s="37"/>
      <c r="B99" s="189"/>
      <c r="C99" s="190"/>
      <c r="D99" s="189" t="s">
        <v>253</v>
      </c>
      <c r="E99" s="196">
        <v>140</v>
      </c>
      <c r="F99" s="189" t="s">
        <v>1080</v>
      </c>
      <c r="G99" s="195"/>
      <c r="H99" s="80" t="s">
        <v>568</v>
      </c>
      <c r="I99" s="196">
        <v>1</v>
      </c>
      <c r="J99" s="190" t="s">
        <v>455</v>
      </c>
      <c r="K99" s="196" t="s">
        <v>1396</v>
      </c>
      <c r="L99" s="189" t="s">
        <v>1297</v>
      </c>
      <c r="M99" s="91"/>
    </row>
    <row r="100" spans="1:13" x14ac:dyDescent="0.2">
      <c r="A100" s="37"/>
      <c r="B100" s="189"/>
      <c r="C100" s="190"/>
      <c r="D100" s="189" t="s">
        <v>781</v>
      </c>
      <c r="E100" s="196">
        <v>141</v>
      </c>
      <c r="F100" s="189" t="s">
        <v>1080</v>
      </c>
      <c r="G100" s="195"/>
      <c r="H100" s="80" t="s">
        <v>459</v>
      </c>
      <c r="I100" s="196">
        <v>10</v>
      </c>
      <c r="J100" s="190" t="s">
        <v>1002</v>
      </c>
      <c r="K100" s="196">
        <v>4</v>
      </c>
      <c r="L100" s="189" t="s">
        <v>422</v>
      </c>
      <c r="M100" s="91"/>
    </row>
    <row r="101" spans="1:13" ht="25.5" x14ac:dyDescent="0.2">
      <c r="A101" s="37">
        <v>7</v>
      </c>
      <c r="B101" s="189"/>
      <c r="C101" s="190"/>
      <c r="D101" s="189" t="s">
        <v>253</v>
      </c>
      <c r="E101" s="196">
        <v>142</v>
      </c>
      <c r="F101" s="189" t="s">
        <v>1080</v>
      </c>
      <c r="G101" s="195"/>
      <c r="H101" s="80" t="s">
        <v>1068</v>
      </c>
      <c r="I101" s="196">
        <v>40</v>
      </c>
      <c r="J101" s="190" t="s">
        <v>960</v>
      </c>
      <c r="K101" s="196">
        <v>10</v>
      </c>
      <c r="L101" s="189" t="s">
        <v>1195</v>
      </c>
      <c r="M101" s="194"/>
    </row>
    <row r="102" spans="1:13" ht="25.5" x14ac:dyDescent="0.2">
      <c r="A102" s="37">
        <v>7</v>
      </c>
      <c r="B102" s="189"/>
      <c r="C102" s="190"/>
      <c r="D102" s="189" t="s">
        <v>781</v>
      </c>
      <c r="E102" s="196">
        <v>143</v>
      </c>
      <c r="F102" s="189" t="s">
        <v>1080</v>
      </c>
      <c r="G102" s="195"/>
      <c r="H102" s="80" t="s">
        <v>189</v>
      </c>
      <c r="I102" s="196">
        <v>107</v>
      </c>
      <c r="J102" s="190" t="s">
        <v>286</v>
      </c>
      <c r="K102" s="196">
        <v>70</v>
      </c>
      <c r="L102" s="189" t="s">
        <v>1167</v>
      </c>
      <c r="M102" s="194"/>
    </row>
    <row r="103" spans="1:13" ht="25.5" x14ac:dyDescent="0.2">
      <c r="A103" s="37"/>
      <c r="B103" s="189"/>
      <c r="C103" s="190"/>
      <c r="D103" s="189" t="s">
        <v>781</v>
      </c>
      <c r="E103" s="196">
        <v>145</v>
      </c>
      <c r="F103" s="189" t="s">
        <v>1080</v>
      </c>
      <c r="G103" s="195"/>
      <c r="H103" s="80" t="s">
        <v>26</v>
      </c>
      <c r="I103" s="196">
        <v>5</v>
      </c>
      <c r="J103" s="190" t="s">
        <v>364</v>
      </c>
      <c r="K103" s="196">
        <v>1</v>
      </c>
      <c r="L103" s="189" t="s">
        <v>1025</v>
      </c>
      <c r="M103" s="194"/>
    </row>
    <row r="104" spans="1:13" ht="25.5" x14ac:dyDescent="0.2">
      <c r="A104" s="37"/>
      <c r="B104" s="189"/>
      <c r="C104" s="190"/>
      <c r="D104" s="189" t="s">
        <v>253</v>
      </c>
      <c r="E104" s="196">
        <v>147</v>
      </c>
      <c r="F104" s="189" t="s">
        <v>1080</v>
      </c>
      <c r="G104" s="195"/>
      <c r="H104" s="80" t="s">
        <v>1397</v>
      </c>
      <c r="I104" s="196">
        <v>20</v>
      </c>
      <c r="J104" s="190" t="s">
        <v>1398</v>
      </c>
      <c r="K104" s="196">
        <v>0</v>
      </c>
      <c r="L104" s="189" t="s">
        <v>1137</v>
      </c>
      <c r="M104" s="194"/>
    </row>
    <row r="105" spans="1:13" ht="25.5" x14ac:dyDescent="0.2">
      <c r="A105" s="37">
        <v>7</v>
      </c>
      <c r="B105" s="189"/>
      <c r="C105" s="190"/>
      <c r="D105" s="189" t="s">
        <v>253</v>
      </c>
      <c r="E105" s="196">
        <v>148</v>
      </c>
      <c r="F105" s="189" t="s">
        <v>1080</v>
      </c>
      <c r="G105" s="195"/>
      <c r="H105" s="80" t="s">
        <v>62</v>
      </c>
      <c r="I105" s="196">
        <v>100</v>
      </c>
      <c r="J105" s="190" t="s">
        <v>804</v>
      </c>
      <c r="K105" s="196">
        <v>100</v>
      </c>
      <c r="L105" s="189" t="s">
        <v>1165</v>
      </c>
      <c r="M105" s="194"/>
    </row>
    <row r="106" spans="1:13" ht="25.5" x14ac:dyDescent="0.2">
      <c r="A106" s="37">
        <v>7</v>
      </c>
      <c r="B106" s="189"/>
      <c r="C106" s="190"/>
      <c r="D106" s="189" t="s">
        <v>253</v>
      </c>
      <c r="E106" s="196">
        <v>149</v>
      </c>
      <c r="F106" s="189" t="s">
        <v>1080</v>
      </c>
      <c r="G106" s="195"/>
      <c r="H106" s="80" t="s">
        <v>629</v>
      </c>
      <c r="I106" s="196">
        <v>2000</v>
      </c>
      <c r="J106" s="190" t="s">
        <v>816</v>
      </c>
      <c r="K106" s="196">
        <v>800</v>
      </c>
      <c r="L106" s="189" t="s">
        <v>1291</v>
      </c>
      <c r="M106" s="194"/>
    </row>
    <row r="107" spans="1:13" x14ac:dyDescent="0.2">
      <c r="A107" s="37">
        <v>7</v>
      </c>
      <c r="B107" s="189"/>
      <c r="C107" s="190"/>
      <c r="D107" s="175"/>
      <c r="E107" s="175"/>
      <c r="F107" s="175"/>
      <c r="G107" s="175"/>
      <c r="H107" s="175"/>
      <c r="I107" s="175"/>
      <c r="J107" s="175"/>
      <c r="K107" s="175"/>
      <c r="L107" s="175"/>
      <c r="M107" s="194"/>
    </row>
    <row r="108" spans="1:13" ht="38.25" x14ac:dyDescent="0.2">
      <c r="A108" s="37">
        <v>8</v>
      </c>
      <c r="B108" s="189"/>
      <c r="C108" s="190" t="s">
        <v>10</v>
      </c>
      <c r="D108" s="189"/>
      <c r="E108" s="189"/>
      <c r="F108" s="189"/>
      <c r="G108" s="195">
        <v>296010</v>
      </c>
      <c r="H108" s="80" t="s">
        <v>86</v>
      </c>
      <c r="I108" s="189"/>
      <c r="J108" s="190"/>
      <c r="K108" s="189"/>
      <c r="L108" s="189"/>
      <c r="M108" s="183">
        <f>+M109</f>
        <v>200000000</v>
      </c>
    </row>
    <row r="109" spans="1:13" x14ac:dyDescent="0.2">
      <c r="A109" s="37">
        <v>9</v>
      </c>
      <c r="B109" s="189"/>
      <c r="C109" s="190"/>
      <c r="D109" s="189"/>
      <c r="E109" s="189"/>
      <c r="F109" s="189"/>
      <c r="G109" s="195"/>
      <c r="H109" s="80" t="s">
        <v>835</v>
      </c>
      <c r="I109" s="189"/>
      <c r="J109" s="190"/>
      <c r="K109" s="189"/>
      <c r="L109" s="189"/>
      <c r="M109" s="183">
        <f>52000000+70000000+172000000+15000000+8000000+20000000+6000000+6000000-149000000</f>
        <v>200000000</v>
      </c>
    </row>
    <row r="110" spans="1:13" x14ac:dyDescent="0.2">
      <c r="A110" s="37">
        <v>6</v>
      </c>
      <c r="B110" s="189" t="s">
        <v>285</v>
      </c>
      <c r="C110" s="190"/>
      <c r="D110" s="189"/>
      <c r="E110" s="189"/>
      <c r="F110" s="189"/>
      <c r="G110" s="195"/>
      <c r="H110" s="173" t="s">
        <v>439</v>
      </c>
      <c r="I110" s="189"/>
      <c r="J110" s="190"/>
      <c r="K110" s="189"/>
      <c r="L110" s="189"/>
      <c r="M110" s="91">
        <f>+M112</f>
        <v>100000000</v>
      </c>
    </row>
    <row r="111" spans="1:13" ht="38.25" x14ac:dyDescent="0.2">
      <c r="A111" s="37">
        <v>7</v>
      </c>
      <c r="B111" s="189"/>
      <c r="C111" s="190"/>
      <c r="D111" s="189" t="s">
        <v>253</v>
      </c>
      <c r="E111" s="196">
        <v>155</v>
      </c>
      <c r="F111" s="189" t="s">
        <v>1080</v>
      </c>
      <c r="G111" s="195"/>
      <c r="H111" s="80" t="s">
        <v>994</v>
      </c>
      <c r="I111" s="196">
        <v>30</v>
      </c>
      <c r="J111" s="190" t="s">
        <v>286</v>
      </c>
      <c r="K111" s="196">
        <v>22</v>
      </c>
      <c r="L111" s="189" t="s">
        <v>1163</v>
      </c>
      <c r="M111" s="194"/>
    </row>
    <row r="112" spans="1:13" ht="38.25" x14ac:dyDescent="0.2">
      <c r="A112" s="37">
        <v>8</v>
      </c>
      <c r="B112" s="189"/>
      <c r="C112" s="190" t="s">
        <v>10</v>
      </c>
      <c r="D112" s="189"/>
      <c r="E112" s="189"/>
      <c r="F112" s="189"/>
      <c r="G112" s="195">
        <v>296010</v>
      </c>
      <c r="H112" s="80" t="s">
        <v>86</v>
      </c>
      <c r="I112" s="189"/>
      <c r="J112" s="190"/>
      <c r="K112" s="189"/>
      <c r="L112" s="189"/>
      <c r="M112" s="183">
        <f>+M113</f>
        <v>100000000</v>
      </c>
    </row>
    <row r="113" spans="1:13" x14ac:dyDescent="0.2">
      <c r="A113" s="37">
        <v>9</v>
      </c>
      <c r="B113" s="189"/>
      <c r="C113" s="190"/>
      <c r="D113" s="189"/>
      <c r="E113" s="189"/>
      <c r="F113" s="189"/>
      <c r="G113" s="195"/>
      <c r="H113" s="80" t="s">
        <v>835</v>
      </c>
      <c r="I113" s="189"/>
      <c r="J113" s="190"/>
      <c r="K113" s="189"/>
      <c r="L113" s="189"/>
      <c r="M113" s="183">
        <f>200000000-100000000</f>
        <v>100000000</v>
      </c>
    </row>
    <row r="114" spans="1:13" x14ac:dyDescent="0.2">
      <c r="A114" s="37">
        <v>4</v>
      </c>
      <c r="B114" s="189" t="s">
        <v>885</v>
      </c>
      <c r="C114" s="190"/>
      <c r="D114" s="189"/>
      <c r="E114" s="189"/>
      <c r="F114" s="189"/>
      <c r="G114" s="195"/>
      <c r="H114" s="173" t="s">
        <v>740</v>
      </c>
      <c r="I114" s="189"/>
      <c r="J114" s="190"/>
      <c r="K114" s="189"/>
      <c r="L114" s="189"/>
      <c r="M114" s="91">
        <f>+M116+M120</f>
        <v>36000000</v>
      </c>
    </row>
    <row r="115" spans="1:13" ht="25.5" x14ac:dyDescent="0.2">
      <c r="A115" s="37">
        <v>5</v>
      </c>
      <c r="B115" s="189"/>
      <c r="C115" s="190"/>
      <c r="D115" s="189"/>
      <c r="E115" s="196">
        <v>160</v>
      </c>
      <c r="F115" s="189" t="s">
        <v>268</v>
      </c>
      <c r="G115" s="195"/>
      <c r="H115" s="80" t="s">
        <v>759</v>
      </c>
      <c r="I115" s="196">
        <v>30</v>
      </c>
      <c r="J115" s="190" t="s">
        <v>440</v>
      </c>
      <c r="K115" s="196"/>
      <c r="L115" s="189"/>
      <c r="M115" s="194"/>
    </row>
    <row r="116" spans="1:13" x14ac:dyDescent="0.2">
      <c r="A116" s="37">
        <v>6</v>
      </c>
      <c r="B116" s="189" t="s">
        <v>497</v>
      </c>
      <c r="C116" s="190"/>
      <c r="D116" s="189"/>
      <c r="E116" s="189"/>
      <c r="F116" s="189"/>
      <c r="G116" s="195"/>
      <c r="H116" s="173" t="s">
        <v>316</v>
      </c>
      <c r="I116" s="189"/>
      <c r="J116" s="190"/>
      <c r="K116" s="189"/>
      <c r="L116" s="189"/>
      <c r="M116" s="91">
        <f>+M118</f>
        <v>30000000</v>
      </c>
    </row>
    <row r="117" spans="1:13" ht="25.5" x14ac:dyDescent="0.2">
      <c r="A117" s="37">
        <v>7</v>
      </c>
      <c r="B117" s="189"/>
      <c r="C117" s="190"/>
      <c r="D117" s="189" t="s">
        <v>444</v>
      </c>
      <c r="E117" s="196">
        <v>164</v>
      </c>
      <c r="F117" s="189" t="s">
        <v>1080</v>
      </c>
      <c r="G117" s="195"/>
      <c r="H117" s="80" t="s">
        <v>963</v>
      </c>
      <c r="I117" s="196">
        <v>160</v>
      </c>
      <c r="J117" s="190" t="s">
        <v>684</v>
      </c>
      <c r="K117" s="196">
        <v>72</v>
      </c>
      <c r="L117" s="189" t="s">
        <v>1260</v>
      </c>
      <c r="M117" s="194"/>
    </row>
    <row r="118" spans="1:13" ht="25.5" x14ac:dyDescent="0.2">
      <c r="A118" s="37">
        <v>8</v>
      </c>
      <c r="B118" s="189"/>
      <c r="C118" s="190" t="s">
        <v>10</v>
      </c>
      <c r="D118" s="189"/>
      <c r="E118" s="189"/>
      <c r="F118" s="189"/>
      <c r="G118" s="195">
        <v>296062</v>
      </c>
      <c r="H118" s="80" t="s">
        <v>2</v>
      </c>
      <c r="I118" s="189"/>
      <c r="J118" s="190"/>
      <c r="K118" s="189"/>
      <c r="L118" s="189"/>
      <c r="M118" s="183">
        <f>+M119</f>
        <v>30000000</v>
      </c>
    </row>
    <row r="119" spans="1:13" x14ac:dyDescent="0.2">
      <c r="A119" s="37">
        <v>9</v>
      </c>
      <c r="B119" s="189"/>
      <c r="C119" s="190"/>
      <c r="D119" s="189"/>
      <c r="E119" s="189"/>
      <c r="F119" s="189"/>
      <c r="G119" s="195"/>
      <c r="H119" s="80" t="s">
        <v>835</v>
      </c>
      <c r="I119" s="189"/>
      <c r="J119" s="190"/>
      <c r="K119" s="189"/>
      <c r="L119" s="189"/>
      <c r="M119" s="183">
        <v>30000000</v>
      </c>
    </row>
    <row r="120" spans="1:13" x14ac:dyDescent="0.2">
      <c r="A120" s="37"/>
      <c r="B120" s="189" t="s">
        <v>955</v>
      </c>
      <c r="C120" s="190"/>
      <c r="D120" s="189"/>
      <c r="E120" s="189"/>
      <c r="F120" s="189"/>
      <c r="G120" s="195"/>
      <c r="H120" s="173" t="s">
        <v>282</v>
      </c>
      <c r="I120" s="189"/>
      <c r="J120" s="190"/>
      <c r="K120" s="189"/>
      <c r="L120" s="189"/>
      <c r="M120" s="91">
        <f>+M122</f>
        <v>6000000</v>
      </c>
    </row>
    <row r="121" spans="1:13" ht="25.5" x14ac:dyDescent="0.2">
      <c r="A121" s="37"/>
      <c r="B121" s="189"/>
      <c r="C121" s="190"/>
      <c r="D121" s="189" t="s">
        <v>253</v>
      </c>
      <c r="E121" s="189" t="s">
        <v>1399</v>
      </c>
      <c r="F121" s="189" t="s">
        <v>1080</v>
      </c>
      <c r="G121" s="195"/>
      <c r="H121" s="80" t="s">
        <v>1400</v>
      </c>
      <c r="I121" s="189" t="s">
        <v>1385</v>
      </c>
      <c r="J121" s="190" t="s">
        <v>1401</v>
      </c>
      <c r="K121" s="189" t="s">
        <v>1402</v>
      </c>
      <c r="L121" s="189" t="s">
        <v>1233</v>
      </c>
      <c r="M121" s="183"/>
    </row>
    <row r="122" spans="1:13" ht="25.5" x14ac:dyDescent="0.2">
      <c r="A122" s="37"/>
      <c r="B122" s="189"/>
      <c r="C122" s="190" t="s">
        <v>10</v>
      </c>
      <c r="D122" s="189"/>
      <c r="E122" s="189"/>
      <c r="F122" s="189"/>
      <c r="G122" s="195">
        <v>296062</v>
      </c>
      <c r="H122" s="80" t="s">
        <v>2</v>
      </c>
      <c r="I122" s="189"/>
      <c r="J122" s="190"/>
      <c r="K122" s="189"/>
      <c r="L122" s="189"/>
      <c r="M122" s="183">
        <f>+M123</f>
        <v>6000000</v>
      </c>
    </row>
    <row r="123" spans="1:13" x14ac:dyDescent="0.2">
      <c r="A123" s="37"/>
      <c r="B123" s="189"/>
      <c r="C123" s="190"/>
      <c r="D123" s="189"/>
      <c r="E123" s="189"/>
      <c r="F123" s="189"/>
      <c r="G123" s="195"/>
      <c r="H123" s="80" t="s">
        <v>835</v>
      </c>
      <c r="I123" s="189"/>
      <c r="J123" s="190"/>
      <c r="K123" s="189"/>
      <c r="L123" s="189"/>
      <c r="M123" s="183">
        <v>6000000</v>
      </c>
    </row>
    <row r="124" spans="1:13" x14ac:dyDescent="0.2">
      <c r="A124" s="37"/>
      <c r="B124" s="189"/>
      <c r="C124" s="190"/>
      <c r="D124" s="189"/>
      <c r="E124" s="189"/>
      <c r="F124" s="189"/>
      <c r="G124" s="195"/>
      <c r="H124" s="80"/>
      <c r="I124" s="189"/>
      <c r="J124" s="190"/>
      <c r="K124" s="189"/>
      <c r="L124" s="189"/>
      <c r="M124" s="183"/>
    </row>
    <row r="125" spans="1:13" x14ac:dyDescent="0.2">
      <c r="A125" s="37">
        <v>4</v>
      </c>
      <c r="B125" s="189" t="s">
        <v>450</v>
      </c>
      <c r="C125" s="190"/>
      <c r="D125" s="189"/>
      <c r="E125" s="189"/>
      <c r="F125" s="189"/>
      <c r="G125" s="195"/>
      <c r="H125" s="173" t="s">
        <v>299</v>
      </c>
      <c r="I125" s="189"/>
      <c r="J125" s="190"/>
      <c r="K125" s="189"/>
      <c r="L125" s="189"/>
      <c r="M125" s="91">
        <f>+M127+M131+M137+M141</f>
        <v>555000000</v>
      </c>
    </row>
    <row r="126" spans="1:13" ht="38.25" x14ac:dyDescent="0.2">
      <c r="A126" s="37">
        <v>5</v>
      </c>
      <c r="B126" s="189"/>
      <c r="C126" s="190"/>
      <c r="D126" s="189"/>
      <c r="E126" s="196">
        <v>179</v>
      </c>
      <c r="F126" s="189" t="s">
        <v>268</v>
      </c>
      <c r="G126" s="195"/>
      <c r="H126" s="80" t="s">
        <v>1057</v>
      </c>
      <c r="I126" s="196">
        <v>5</v>
      </c>
      <c r="J126" s="190" t="s">
        <v>440</v>
      </c>
      <c r="K126" s="196"/>
      <c r="L126" s="189"/>
      <c r="M126" s="194"/>
    </row>
    <row r="127" spans="1:13" x14ac:dyDescent="0.2">
      <c r="A127" s="37">
        <v>6</v>
      </c>
      <c r="B127" s="189" t="s">
        <v>857</v>
      </c>
      <c r="C127" s="190"/>
      <c r="D127" s="189"/>
      <c r="E127" s="189"/>
      <c r="F127" s="189"/>
      <c r="G127" s="195"/>
      <c r="H127" s="173" t="s">
        <v>839</v>
      </c>
      <c r="I127" s="189"/>
      <c r="J127" s="190"/>
      <c r="K127" s="189"/>
      <c r="L127" s="189"/>
      <c r="M127" s="91">
        <f>+M129</f>
        <v>400000000</v>
      </c>
    </row>
    <row r="128" spans="1:13" ht="25.5" x14ac:dyDescent="0.2">
      <c r="A128" s="37">
        <v>7</v>
      </c>
      <c r="B128" s="189"/>
      <c r="C128" s="190"/>
      <c r="D128" s="189" t="s">
        <v>444</v>
      </c>
      <c r="E128" s="196">
        <v>182</v>
      </c>
      <c r="F128" s="189" t="s">
        <v>1080</v>
      </c>
      <c r="G128" s="195"/>
      <c r="H128" s="80" t="s">
        <v>850</v>
      </c>
      <c r="I128" s="196">
        <v>400</v>
      </c>
      <c r="J128" s="190" t="s">
        <v>816</v>
      </c>
      <c r="K128" s="196">
        <v>0</v>
      </c>
      <c r="L128" s="189" t="s">
        <v>1306</v>
      </c>
      <c r="M128" s="194"/>
    </row>
    <row r="129" spans="1:13" ht="38.25" x14ac:dyDescent="0.2">
      <c r="A129" s="37">
        <v>8</v>
      </c>
      <c r="B129" s="189"/>
      <c r="C129" s="190" t="s">
        <v>10</v>
      </c>
      <c r="D129" s="189"/>
      <c r="E129" s="189"/>
      <c r="F129" s="189"/>
      <c r="G129" s="195">
        <v>295999</v>
      </c>
      <c r="H129" s="80" t="s">
        <v>978</v>
      </c>
      <c r="I129" s="189"/>
      <c r="J129" s="190"/>
      <c r="K129" s="189"/>
      <c r="L129" s="189"/>
      <c r="M129" s="183">
        <f>+M130</f>
        <v>400000000</v>
      </c>
    </row>
    <row r="130" spans="1:13" x14ac:dyDescent="0.2">
      <c r="A130" s="37">
        <v>9</v>
      </c>
      <c r="B130" s="189"/>
      <c r="C130" s="190"/>
      <c r="D130" s="189"/>
      <c r="E130" s="189"/>
      <c r="F130" s="189"/>
      <c r="G130" s="195"/>
      <c r="H130" s="80" t="s">
        <v>835</v>
      </c>
      <c r="I130" s="189"/>
      <c r="J130" s="190"/>
      <c r="K130" s="189"/>
      <c r="L130" s="189"/>
      <c r="M130" s="183">
        <v>400000000</v>
      </c>
    </row>
    <row r="131" spans="1:13" x14ac:dyDescent="0.2">
      <c r="A131" s="37">
        <v>6</v>
      </c>
      <c r="B131" s="189" t="s">
        <v>497</v>
      </c>
      <c r="C131" s="190"/>
      <c r="D131" s="189"/>
      <c r="E131" s="189"/>
      <c r="F131" s="189"/>
      <c r="G131" s="195"/>
      <c r="H131" s="173" t="s">
        <v>316</v>
      </c>
      <c r="I131" s="189"/>
      <c r="J131" s="190"/>
      <c r="K131" s="189"/>
      <c r="L131" s="189"/>
      <c r="M131" s="91">
        <f>+M135</f>
        <v>90000000</v>
      </c>
    </row>
    <row r="132" spans="1:13" ht="38.25" x14ac:dyDescent="0.2">
      <c r="A132" s="37">
        <v>7</v>
      </c>
      <c r="B132" s="189"/>
      <c r="C132" s="190"/>
      <c r="D132" s="189" t="s">
        <v>61</v>
      </c>
      <c r="E132" s="196">
        <v>185</v>
      </c>
      <c r="F132" s="189" t="s">
        <v>1080</v>
      </c>
      <c r="G132" s="195"/>
      <c r="H132" s="80" t="s">
        <v>635</v>
      </c>
      <c r="I132" s="196">
        <v>1</v>
      </c>
      <c r="J132" s="190" t="s">
        <v>663</v>
      </c>
      <c r="K132" s="196">
        <v>1</v>
      </c>
      <c r="L132" s="189" t="s">
        <v>301</v>
      </c>
      <c r="M132" s="194"/>
    </row>
    <row r="133" spans="1:13" ht="25.5" x14ac:dyDescent="0.2">
      <c r="A133" s="37">
        <v>7</v>
      </c>
      <c r="B133" s="189"/>
      <c r="C133" s="190"/>
      <c r="D133" s="189" t="s">
        <v>750</v>
      </c>
      <c r="E133" s="196">
        <v>186</v>
      </c>
      <c r="F133" s="189" t="s">
        <v>1080</v>
      </c>
      <c r="G133" s="195"/>
      <c r="H133" s="80" t="s">
        <v>222</v>
      </c>
      <c r="I133" s="196">
        <v>6</v>
      </c>
      <c r="J133" s="190" t="s">
        <v>799</v>
      </c>
      <c r="K133" s="196">
        <v>0</v>
      </c>
      <c r="L133" s="189" t="s">
        <v>1025</v>
      </c>
      <c r="M133" s="194"/>
    </row>
    <row r="134" spans="1:13" ht="38.25" x14ac:dyDescent="0.2">
      <c r="A134" s="37">
        <v>7</v>
      </c>
      <c r="B134" s="189"/>
      <c r="C134" s="190"/>
      <c r="D134" s="189" t="s">
        <v>444</v>
      </c>
      <c r="E134" s="196">
        <v>187</v>
      </c>
      <c r="F134" s="189" t="s">
        <v>1080</v>
      </c>
      <c r="G134" s="195"/>
      <c r="H134" s="80" t="s">
        <v>25</v>
      </c>
      <c r="I134" s="196">
        <v>160</v>
      </c>
      <c r="J134" s="190" t="s">
        <v>684</v>
      </c>
      <c r="K134" s="196">
        <v>72</v>
      </c>
      <c r="L134" s="189" t="s">
        <v>1260</v>
      </c>
      <c r="M134" s="194"/>
    </row>
    <row r="135" spans="1:13" ht="38.25" x14ac:dyDescent="0.2">
      <c r="A135" s="37">
        <v>8</v>
      </c>
      <c r="B135" s="189"/>
      <c r="C135" s="190" t="s">
        <v>10</v>
      </c>
      <c r="D135" s="189"/>
      <c r="E135" s="189"/>
      <c r="F135" s="189"/>
      <c r="G135" s="195">
        <v>295999</v>
      </c>
      <c r="H135" s="80" t="s">
        <v>978</v>
      </c>
      <c r="I135" s="189"/>
      <c r="J135" s="190"/>
      <c r="K135" s="189"/>
      <c r="L135" s="189"/>
      <c r="M135" s="183">
        <f>+M136</f>
        <v>90000000</v>
      </c>
    </row>
    <row r="136" spans="1:13" x14ac:dyDescent="0.2">
      <c r="A136" s="37">
        <v>9</v>
      </c>
      <c r="B136" s="189"/>
      <c r="C136" s="190"/>
      <c r="D136" s="189"/>
      <c r="E136" s="189"/>
      <c r="F136" s="189"/>
      <c r="G136" s="195"/>
      <c r="H136" s="80" t="s">
        <v>835</v>
      </c>
      <c r="I136" s="189"/>
      <c r="J136" s="190"/>
      <c r="K136" s="189"/>
      <c r="L136" s="189"/>
      <c r="M136" s="183">
        <f>30000000+40000000+20000000</f>
        <v>90000000</v>
      </c>
    </row>
    <row r="137" spans="1:13" x14ac:dyDescent="0.2">
      <c r="A137" s="37">
        <v>6</v>
      </c>
      <c r="B137" s="189" t="s">
        <v>955</v>
      </c>
      <c r="C137" s="190"/>
      <c r="D137" s="189"/>
      <c r="E137" s="189"/>
      <c r="F137" s="189"/>
      <c r="G137" s="195"/>
      <c r="H137" s="173" t="s">
        <v>282</v>
      </c>
      <c r="I137" s="189"/>
      <c r="J137" s="190"/>
      <c r="K137" s="189"/>
      <c r="L137" s="189"/>
      <c r="M137" s="91">
        <f>+M139</f>
        <v>5000000</v>
      </c>
    </row>
    <row r="138" spans="1:13" ht="40.5" customHeight="1" x14ac:dyDescent="0.2">
      <c r="A138" s="37"/>
      <c r="B138" s="189"/>
      <c r="C138" s="190"/>
      <c r="D138" s="189" t="s">
        <v>61</v>
      </c>
      <c r="E138" s="189" t="s">
        <v>1403</v>
      </c>
      <c r="F138" s="189" t="s">
        <v>1080</v>
      </c>
      <c r="G138" s="195"/>
      <c r="H138" s="177" t="s">
        <v>1404</v>
      </c>
      <c r="I138" s="189" t="s">
        <v>422</v>
      </c>
      <c r="J138" s="190" t="s">
        <v>130</v>
      </c>
      <c r="K138" s="189" t="s">
        <v>1118</v>
      </c>
      <c r="L138" s="189" t="s">
        <v>301</v>
      </c>
      <c r="M138" s="91"/>
    </row>
    <row r="139" spans="1:13" ht="38.25" x14ac:dyDescent="0.2">
      <c r="A139" s="37">
        <v>8</v>
      </c>
      <c r="B139" s="189"/>
      <c r="C139" s="190" t="s">
        <v>10</v>
      </c>
      <c r="D139" s="189"/>
      <c r="E139" s="189"/>
      <c r="F139" s="189"/>
      <c r="G139" s="195">
        <v>295999</v>
      </c>
      <c r="H139" s="80" t="s">
        <v>978</v>
      </c>
      <c r="I139" s="189"/>
      <c r="J139" s="190"/>
      <c r="K139" s="189"/>
      <c r="L139" s="189"/>
      <c r="M139" s="183">
        <f>+M140</f>
        <v>5000000</v>
      </c>
    </row>
    <row r="140" spans="1:13" x14ac:dyDescent="0.2">
      <c r="A140" s="37">
        <v>9</v>
      </c>
      <c r="B140" s="189"/>
      <c r="C140" s="190"/>
      <c r="D140" s="189"/>
      <c r="E140" s="189"/>
      <c r="F140" s="189"/>
      <c r="G140" s="195"/>
      <c r="H140" s="80" t="s">
        <v>835</v>
      </c>
      <c r="I140" s="189"/>
      <c r="J140" s="190"/>
      <c r="K140" s="189"/>
      <c r="L140" s="189"/>
      <c r="M140" s="183">
        <v>5000000</v>
      </c>
    </row>
    <row r="141" spans="1:13" x14ac:dyDescent="0.2">
      <c r="A141" s="37">
        <v>6</v>
      </c>
      <c r="B141" s="189" t="s">
        <v>285</v>
      </c>
      <c r="C141" s="190"/>
      <c r="D141" s="189"/>
      <c r="E141" s="189"/>
      <c r="F141" s="189"/>
      <c r="G141" s="195"/>
      <c r="H141" s="173" t="s">
        <v>439</v>
      </c>
      <c r="I141" s="189"/>
      <c r="J141" s="190"/>
      <c r="K141" s="189"/>
      <c r="L141" s="189"/>
      <c r="M141" s="91">
        <f>+M143</f>
        <v>60000000</v>
      </c>
    </row>
    <row r="142" spans="1:13" ht="25.5" x14ac:dyDescent="0.2">
      <c r="A142" s="37">
        <v>7</v>
      </c>
      <c r="B142" s="189"/>
      <c r="C142" s="190"/>
      <c r="D142" s="189" t="s">
        <v>61</v>
      </c>
      <c r="E142" s="196">
        <v>197</v>
      </c>
      <c r="F142" s="189" t="s">
        <v>1080</v>
      </c>
      <c r="G142" s="195"/>
      <c r="H142" s="80" t="s">
        <v>60</v>
      </c>
      <c r="I142" s="196">
        <v>35</v>
      </c>
      <c r="J142" s="190" t="s">
        <v>286</v>
      </c>
      <c r="K142" s="196">
        <v>13</v>
      </c>
      <c r="L142" s="189" t="s">
        <v>114</v>
      </c>
      <c r="M142" s="194"/>
    </row>
    <row r="143" spans="1:13" ht="38.25" x14ac:dyDescent="0.2">
      <c r="A143" s="37">
        <v>8</v>
      </c>
      <c r="B143" s="189"/>
      <c r="C143" s="190" t="s">
        <v>10</v>
      </c>
      <c r="D143" s="189"/>
      <c r="E143" s="189"/>
      <c r="F143" s="189"/>
      <c r="G143" s="195">
        <v>295999</v>
      </c>
      <c r="H143" s="80" t="s">
        <v>978</v>
      </c>
      <c r="I143" s="189"/>
      <c r="J143" s="190"/>
      <c r="K143" s="189"/>
      <c r="L143" s="189"/>
      <c r="M143" s="183">
        <f>+M144</f>
        <v>60000000</v>
      </c>
    </row>
    <row r="144" spans="1:13" x14ac:dyDescent="0.2">
      <c r="A144" s="37">
        <v>9</v>
      </c>
      <c r="B144" s="189"/>
      <c r="C144" s="190"/>
      <c r="D144" s="189"/>
      <c r="E144" s="189"/>
      <c r="F144" s="189"/>
      <c r="G144" s="195"/>
      <c r="H144" s="80" t="s">
        <v>835</v>
      </c>
      <c r="I144" s="189"/>
      <c r="J144" s="190"/>
      <c r="K144" s="189"/>
      <c r="L144" s="189"/>
      <c r="M144" s="183">
        <v>60000000</v>
      </c>
    </row>
    <row r="145" spans="1:13" x14ac:dyDescent="0.2">
      <c r="A145" s="37"/>
      <c r="B145" s="189"/>
      <c r="C145" s="190"/>
      <c r="D145" s="189"/>
      <c r="E145" s="189"/>
      <c r="F145" s="189"/>
      <c r="G145" s="195"/>
      <c r="H145" s="80"/>
      <c r="I145" s="189"/>
      <c r="J145" s="190"/>
      <c r="K145" s="189"/>
      <c r="L145" s="189"/>
      <c r="M145" s="183"/>
    </row>
    <row r="146" spans="1:13" ht="25.5" x14ac:dyDescent="0.2">
      <c r="A146" s="37">
        <v>4</v>
      </c>
      <c r="B146" s="189" t="s">
        <v>1069</v>
      </c>
      <c r="C146" s="190"/>
      <c r="D146" s="189"/>
      <c r="E146" s="189"/>
      <c r="F146" s="189"/>
      <c r="G146" s="195"/>
      <c r="H146" s="173" t="s">
        <v>101</v>
      </c>
      <c r="I146" s="189"/>
      <c r="J146" s="190"/>
      <c r="K146" s="189"/>
      <c r="L146" s="189"/>
      <c r="M146" s="91">
        <f>+M148</f>
        <v>707500000</v>
      </c>
    </row>
    <row r="147" spans="1:13" ht="25.5" x14ac:dyDescent="0.2">
      <c r="A147" s="37">
        <v>5</v>
      </c>
      <c r="B147" s="189"/>
      <c r="C147" s="190"/>
      <c r="D147" s="189"/>
      <c r="E147" s="196">
        <v>269</v>
      </c>
      <c r="F147" s="189" t="s">
        <v>268</v>
      </c>
      <c r="G147" s="195"/>
      <c r="H147" s="80" t="s">
        <v>360</v>
      </c>
      <c r="I147" s="196">
        <v>116</v>
      </c>
      <c r="J147" s="190" t="s">
        <v>286</v>
      </c>
      <c r="K147" s="196"/>
      <c r="L147" s="189"/>
      <c r="M147" s="194"/>
    </row>
    <row r="148" spans="1:13" x14ac:dyDescent="0.2">
      <c r="A148" s="37">
        <v>6</v>
      </c>
      <c r="B148" s="189" t="s">
        <v>955</v>
      </c>
      <c r="C148" s="190"/>
      <c r="D148" s="189"/>
      <c r="E148" s="189"/>
      <c r="F148" s="189"/>
      <c r="G148" s="195"/>
      <c r="H148" s="173" t="s">
        <v>667</v>
      </c>
      <c r="I148" s="189"/>
      <c r="J148" s="190"/>
      <c r="K148" s="189"/>
      <c r="L148" s="189"/>
      <c r="M148" s="91">
        <f>+M159+M163+M167+M169+M161+M165</f>
        <v>707500000</v>
      </c>
    </row>
    <row r="149" spans="1:13" ht="38.25" x14ac:dyDescent="0.2">
      <c r="A149" s="37"/>
      <c r="B149" s="189"/>
      <c r="C149" s="190"/>
      <c r="D149" s="189"/>
      <c r="E149" s="189" t="s">
        <v>1546</v>
      </c>
      <c r="F149" s="189" t="s">
        <v>1080</v>
      </c>
      <c r="G149" s="195"/>
      <c r="H149" s="177" t="s">
        <v>1547</v>
      </c>
      <c r="I149" s="189"/>
      <c r="J149" s="190"/>
      <c r="K149" s="189"/>
      <c r="L149" s="189"/>
      <c r="M149" s="91"/>
    </row>
    <row r="150" spans="1:13" ht="38.25" x14ac:dyDescent="0.2">
      <c r="A150" s="37"/>
      <c r="B150" s="189"/>
      <c r="C150" s="190"/>
      <c r="D150" s="189"/>
      <c r="E150" s="189" t="s">
        <v>1548</v>
      </c>
      <c r="F150" s="189" t="s">
        <v>1080</v>
      </c>
      <c r="G150" s="195"/>
      <c r="H150" s="177" t="s">
        <v>1549</v>
      </c>
      <c r="I150" s="189"/>
      <c r="J150" s="190"/>
      <c r="K150" s="189"/>
      <c r="L150" s="189"/>
      <c r="M150" s="91"/>
    </row>
    <row r="151" spans="1:13" ht="38.25" x14ac:dyDescent="0.2">
      <c r="A151" s="37">
        <v>7</v>
      </c>
      <c r="B151" s="189"/>
      <c r="C151" s="190"/>
      <c r="D151" s="189" t="s">
        <v>335</v>
      </c>
      <c r="E151" s="196">
        <v>283</v>
      </c>
      <c r="F151" s="189" t="s">
        <v>1080</v>
      </c>
      <c r="G151" s="195"/>
      <c r="H151" s="80" t="s">
        <v>859</v>
      </c>
      <c r="I151" s="196">
        <v>100</v>
      </c>
      <c r="J151" s="190" t="s">
        <v>804</v>
      </c>
      <c r="K151" s="196">
        <v>100</v>
      </c>
      <c r="L151" s="189" t="s">
        <v>1165</v>
      </c>
      <c r="M151" s="194"/>
    </row>
    <row r="152" spans="1:13" ht="38.25" x14ac:dyDescent="0.2">
      <c r="A152" s="37">
        <v>7</v>
      </c>
      <c r="B152" s="189"/>
      <c r="C152" s="190"/>
      <c r="D152" s="189" t="s">
        <v>335</v>
      </c>
      <c r="E152" s="196">
        <v>284</v>
      </c>
      <c r="F152" s="189" t="s">
        <v>1080</v>
      </c>
      <c r="G152" s="195"/>
      <c r="H152" s="80" t="s">
        <v>505</v>
      </c>
      <c r="I152" s="196">
        <v>100</v>
      </c>
      <c r="J152" s="190" t="s">
        <v>804</v>
      </c>
      <c r="K152" s="196">
        <v>100</v>
      </c>
      <c r="L152" s="189" t="s">
        <v>1165</v>
      </c>
      <c r="M152" s="194"/>
    </row>
    <row r="153" spans="1:13" ht="38.25" x14ac:dyDescent="0.2">
      <c r="A153" s="37"/>
      <c r="B153" s="189"/>
      <c r="C153" s="190"/>
      <c r="D153" s="189" t="s">
        <v>538</v>
      </c>
      <c r="E153" s="196">
        <v>285</v>
      </c>
      <c r="F153" s="189" t="s">
        <v>1080</v>
      </c>
      <c r="G153" s="195"/>
      <c r="H153" s="80" t="s">
        <v>866</v>
      </c>
      <c r="I153" s="196">
        <v>100</v>
      </c>
      <c r="J153" s="190" t="s">
        <v>24</v>
      </c>
      <c r="K153" s="196">
        <v>100</v>
      </c>
      <c r="L153" s="189" t="s">
        <v>1165</v>
      </c>
      <c r="M153" s="194"/>
    </row>
    <row r="154" spans="1:13" ht="38.25" x14ac:dyDescent="0.2">
      <c r="A154" s="37"/>
      <c r="B154" s="189"/>
      <c r="C154" s="190"/>
      <c r="D154" s="189" t="s">
        <v>538</v>
      </c>
      <c r="E154" s="196">
        <v>292</v>
      </c>
      <c r="F154" s="189" t="s">
        <v>1080</v>
      </c>
      <c r="G154" s="195"/>
      <c r="H154" s="80" t="s">
        <v>9</v>
      </c>
      <c r="I154" s="196">
        <v>100</v>
      </c>
      <c r="J154" s="190" t="s">
        <v>804</v>
      </c>
      <c r="K154" s="196">
        <v>100</v>
      </c>
      <c r="L154" s="189" t="s">
        <v>1165</v>
      </c>
      <c r="M154" s="194"/>
    </row>
    <row r="155" spans="1:13" ht="25.5" x14ac:dyDescent="0.2">
      <c r="A155" s="37">
        <v>7</v>
      </c>
      <c r="B155" s="189"/>
      <c r="C155" s="190"/>
      <c r="D155" s="189" t="s">
        <v>972</v>
      </c>
      <c r="E155" s="196">
        <v>293</v>
      </c>
      <c r="F155" s="189" t="s">
        <v>1080</v>
      </c>
      <c r="G155" s="195"/>
      <c r="H155" s="80" t="s">
        <v>141</v>
      </c>
      <c r="I155" s="196">
        <v>100</v>
      </c>
      <c r="J155" s="190" t="s">
        <v>804</v>
      </c>
      <c r="K155" s="196">
        <v>100</v>
      </c>
      <c r="L155" s="189" t="s">
        <v>1165</v>
      </c>
      <c r="M155" s="194"/>
    </row>
    <row r="156" spans="1:13" ht="25.5" x14ac:dyDescent="0.2">
      <c r="A156" s="37">
        <v>7</v>
      </c>
      <c r="B156" s="189"/>
      <c r="C156" s="190"/>
      <c r="D156" s="189" t="s">
        <v>972</v>
      </c>
      <c r="E156" s="196">
        <v>314</v>
      </c>
      <c r="F156" s="189" t="s">
        <v>1080</v>
      </c>
      <c r="G156" s="195"/>
      <c r="H156" s="80" t="s">
        <v>787</v>
      </c>
      <c r="I156" s="196">
        <v>3</v>
      </c>
      <c r="J156" s="190" t="s">
        <v>935</v>
      </c>
      <c r="K156" s="196">
        <v>0</v>
      </c>
      <c r="L156" s="189" t="s">
        <v>301</v>
      </c>
      <c r="M156" s="194"/>
    </row>
    <row r="157" spans="1:13" ht="38.25" x14ac:dyDescent="0.2">
      <c r="A157" s="37">
        <v>7</v>
      </c>
      <c r="B157" s="189"/>
      <c r="C157" s="190"/>
      <c r="D157" s="189" t="s">
        <v>538</v>
      </c>
      <c r="E157" s="196">
        <v>319</v>
      </c>
      <c r="F157" s="189" t="s">
        <v>1080</v>
      </c>
      <c r="G157" s="195"/>
      <c r="H157" s="80" t="s">
        <v>606</v>
      </c>
      <c r="I157" s="196">
        <v>100</v>
      </c>
      <c r="J157" s="190" t="s">
        <v>804</v>
      </c>
      <c r="K157" s="196">
        <v>100</v>
      </c>
      <c r="L157" s="189" t="s">
        <v>1165</v>
      </c>
      <c r="M157" s="194"/>
    </row>
    <row r="158" spans="1:13" x14ac:dyDescent="0.2">
      <c r="A158" s="37">
        <v>7</v>
      </c>
      <c r="B158" s="189"/>
      <c r="C158" s="190"/>
      <c r="D158" s="175"/>
      <c r="E158" s="175"/>
      <c r="F158" s="175"/>
      <c r="G158" s="175"/>
      <c r="H158" s="175"/>
      <c r="I158" s="175"/>
      <c r="J158" s="175"/>
      <c r="K158" s="175"/>
      <c r="L158" s="175"/>
      <c r="M158" s="194"/>
    </row>
    <row r="159" spans="1:13" ht="51" x14ac:dyDescent="0.2">
      <c r="A159" s="37">
        <v>8</v>
      </c>
      <c r="B159" s="189"/>
      <c r="C159" s="190" t="s">
        <v>10</v>
      </c>
      <c r="D159" s="189"/>
      <c r="E159" s="189"/>
      <c r="F159" s="189"/>
      <c r="G159" s="195">
        <v>296097</v>
      </c>
      <c r="H159" s="80" t="s">
        <v>1409</v>
      </c>
      <c r="I159" s="189"/>
      <c r="J159" s="190"/>
      <c r="K159" s="189"/>
      <c r="L159" s="189"/>
      <c r="M159" s="183">
        <f>+M160</f>
        <v>120000000</v>
      </c>
    </row>
    <row r="160" spans="1:13" x14ac:dyDescent="0.2">
      <c r="A160" s="37">
        <v>9</v>
      </c>
      <c r="B160" s="189"/>
      <c r="C160" s="190"/>
      <c r="D160" s="189"/>
      <c r="E160" s="189"/>
      <c r="F160" s="189"/>
      <c r="G160" s="195"/>
      <c r="H160" s="80" t="s">
        <v>835</v>
      </c>
      <c r="I160" s="189"/>
      <c r="J160" s="190"/>
      <c r="K160" s="189"/>
      <c r="L160" s="189"/>
      <c r="M160" s="183">
        <f>60000000+60000000</f>
        <v>120000000</v>
      </c>
    </row>
    <row r="161" spans="1:13" ht="38.25" x14ac:dyDescent="0.2">
      <c r="A161" s="37"/>
      <c r="B161" s="189"/>
      <c r="C161" s="190" t="s">
        <v>10</v>
      </c>
      <c r="D161" s="189"/>
      <c r="E161" s="189"/>
      <c r="F161" s="189"/>
      <c r="G161" s="195">
        <v>295953</v>
      </c>
      <c r="H161" s="80" t="s">
        <v>1410</v>
      </c>
      <c r="I161" s="189"/>
      <c r="J161" s="190"/>
      <c r="K161" s="189"/>
      <c r="L161" s="189"/>
      <c r="M161" s="183">
        <f>+M162</f>
        <v>32500000</v>
      </c>
    </row>
    <row r="162" spans="1:13" x14ac:dyDescent="0.2">
      <c r="A162" s="37"/>
      <c r="B162" s="189"/>
      <c r="C162" s="190"/>
      <c r="D162" s="189"/>
      <c r="E162" s="189"/>
      <c r="F162" s="189"/>
      <c r="G162" s="195"/>
      <c r="H162" s="80" t="s">
        <v>835</v>
      </c>
      <c r="I162" s="189"/>
      <c r="J162" s="190"/>
      <c r="K162" s="189"/>
      <c r="L162" s="189"/>
      <c r="M162" s="183">
        <v>32500000</v>
      </c>
    </row>
    <row r="163" spans="1:13" ht="36.75" customHeight="1" x14ac:dyDescent="0.2">
      <c r="A163" s="37">
        <v>8</v>
      </c>
      <c r="B163" s="189"/>
      <c r="C163" s="190" t="s">
        <v>1271</v>
      </c>
      <c r="D163" s="189"/>
      <c r="E163" s="189"/>
      <c r="F163" s="189"/>
      <c r="G163" s="195">
        <v>296012</v>
      </c>
      <c r="H163" s="80" t="s">
        <v>1278</v>
      </c>
      <c r="I163" s="189"/>
      <c r="J163" s="190"/>
      <c r="K163" s="189"/>
      <c r="L163" s="189"/>
      <c r="M163" s="183">
        <f>+M164</f>
        <v>22000000</v>
      </c>
    </row>
    <row r="164" spans="1:13" x14ac:dyDescent="0.2">
      <c r="A164" s="37">
        <v>9</v>
      </c>
      <c r="B164" s="189"/>
      <c r="C164" s="190"/>
      <c r="D164" s="189"/>
      <c r="E164" s="189"/>
      <c r="F164" s="189"/>
      <c r="G164" s="195"/>
      <c r="H164" s="80" t="s">
        <v>835</v>
      </c>
      <c r="I164" s="189"/>
      <c r="J164" s="190"/>
      <c r="K164" s="189"/>
      <c r="L164" s="189"/>
      <c r="M164" s="183">
        <v>22000000</v>
      </c>
    </row>
    <row r="165" spans="1:13" ht="38.25" x14ac:dyDescent="0.2">
      <c r="A165" s="37"/>
      <c r="B165" s="189"/>
      <c r="C165" s="190" t="s">
        <v>10</v>
      </c>
      <c r="D165" s="189"/>
      <c r="E165" s="189"/>
      <c r="F165" s="189"/>
      <c r="G165" s="195">
        <v>295954</v>
      </c>
      <c r="H165" s="80" t="s">
        <v>1411</v>
      </c>
      <c r="I165" s="189"/>
      <c r="J165" s="190"/>
      <c r="K165" s="189"/>
      <c r="L165" s="189"/>
      <c r="M165" s="183">
        <f>+M166</f>
        <v>512000000</v>
      </c>
    </row>
    <row r="166" spans="1:13" x14ac:dyDescent="0.2">
      <c r="A166" s="37"/>
      <c r="B166" s="189"/>
      <c r="C166" s="190"/>
      <c r="D166" s="189"/>
      <c r="E166" s="189"/>
      <c r="F166" s="189"/>
      <c r="G166" s="195"/>
      <c r="H166" s="80" t="s">
        <v>835</v>
      </c>
      <c r="I166" s="189"/>
      <c r="J166" s="190"/>
      <c r="K166" s="189"/>
      <c r="L166" s="189"/>
      <c r="M166" s="183">
        <f>12000000+500000000</f>
        <v>512000000</v>
      </c>
    </row>
    <row r="167" spans="1:13" ht="38.25" x14ac:dyDescent="0.2">
      <c r="A167" s="37">
        <v>8</v>
      </c>
      <c r="B167" s="189"/>
      <c r="C167" s="190" t="s">
        <v>10</v>
      </c>
      <c r="D167" s="189"/>
      <c r="E167" s="189"/>
      <c r="F167" s="189"/>
      <c r="G167" s="195">
        <v>296010</v>
      </c>
      <c r="H167" s="80" t="s">
        <v>86</v>
      </c>
      <c r="I167" s="189"/>
      <c r="J167" s="190"/>
      <c r="K167" s="189"/>
      <c r="L167" s="189"/>
      <c r="M167" s="183">
        <f>+M168</f>
        <v>15000000</v>
      </c>
    </row>
    <row r="168" spans="1:13" x14ac:dyDescent="0.2">
      <c r="A168" s="37">
        <v>9</v>
      </c>
      <c r="B168" s="189"/>
      <c r="C168" s="190"/>
      <c r="D168" s="189"/>
      <c r="E168" s="189"/>
      <c r="F168" s="189"/>
      <c r="G168" s="195"/>
      <c r="H168" s="80" t="s">
        <v>835</v>
      </c>
      <c r="I168" s="189"/>
      <c r="J168" s="190"/>
      <c r="K168" s="189"/>
      <c r="L168" s="189"/>
      <c r="M168" s="183">
        <v>15000000</v>
      </c>
    </row>
    <row r="169" spans="1:13" ht="25.5" x14ac:dyDescent="0.2">
      <c r="A169" s="37">
        <v>8</v>
      </c>
      <c r="B169" s="189"/>
      <c r="C169" s="190" t="s">
        <v>10</v>
      </c>
      <c r="D169" s="189"/>
      <c r="E169" s="189"/>
      <c r="F169" s="189"/>
      <c r="G169" s="195">
        <v>296065</v>
      </c>
      <c r="H169" s="80" t="s">
        <v>644</v>
      </c>
      <c r="I169" s="189"/>
      <c r="J169" s="190"/>
      <c r="K169" s="189"/>
      <c r="L169" s="189"/>
      <c r="M169" s="183">
        <f>+M170</f>
        <v>6000000</v>
      </c>
    </row>
    <row r="170" spans="1:13" x14ac:dyDescent="0.2">
      <c r="A170" s="37">
        <v>9</v>
      </c>
      <c r="B170" s="189"/>
      <c r="C170" s="190"/>
      <c r="D170" s="189"/>
      <c r="E170" s="189"/>
      <c r="F170" s="189"/>
      <c r="G170" s="195"/>
      <c r="H170" s="80" t="s">
        <v>835</v>
      </c>
      <c r="I170" s="189"/>
      <c r="J170" s="190"/>
      <c r="K170" s="189"/>
      <c r="L170" s="189"/>
      <c r="M170" s="183">
        <v>6000000</v>
      </c>
    </row>
    <row r="171" spans="1:13" x14ac:dyDescent="0.2">
      <c r="A171" s="37"/>
      <c r="B171" s="189"/>
      <c r="C171" s="190"/>
      <c r="D171" s="189"/>
      <c r="E171" s="189"/>
      <c r="F171" s="189"/>
      <c r="G171" s="195"/>
      <c r="H171" s="80"/>
      <c r="I171" s="189"/>
      <c r="J171" s="190"/>
      <c r="K171" s="189"/>
      <c r="L171" s="189"/>
      <c r="M171" s="183"/>
    </row>
    <row r="172" spans="1:13" x14ac:dyDescent="0.2">
      <c r="A172" s="37">
        <v>4</v>
      </c>
      <c r="B172" s="189" t="s">
        <v>472</v>
      </c>
      <c r="C172" s="190"/>
      <c r="D172" s="189"/>
      <c r="E172" s="189"/>
      <c r="F172" s="189"/>
      <c r="G172" s="195"/>
      <c r="H172" s="173" t="s">
        <v>1012</v>
      </c>
      <c r="I172" s="189"/>
      <c r="J172" s="190"/>
      <c r="K172" s="189"/>
      <c r="L172" s="189"/>
      <c r="M172" s="91">
        <f>+M176+M187+M193+M203</f>
        <v>2323261904</v>
      </c>
    </row>
    <row r="173" spans="1:13" ht="25.5" x14ac:dyDescent="0.2">
      <c r="A173" s="37"/>
      <c r="B173" s="189"/>
      <c r="C173" s="190"/>
      <c r="D173" s="189"/>
      <c r="E173" s="196">
        <v>200</v>
      </c>
      <c r="F173" s="189" t="s">
        <v>268</v>
      </c>
      <c r="G173" s="195"/>
      <c r="H173" s="80" t="s">
        <v>527</v>
      </c>
      <c r="I173" s="196">
        <v>21000</v>
      </c>
      <c r="J173" s="190" t="s">
        <v>524</v>
      </c>
      <c r="K173" s="196"/>
      <c r="L173" s="189"/>
      <c r="M173" s="91"/>
    </row>
    <row r="174" spans="1:13" ht="25.5" x14ac:dyDescent="0.2">
      <c r="A174" s="37">
        <v>5</v>
      </c>
      <c r="B174" s="189"/>
      <c r="C174" s="190"/>
      <c r="D174" s="189"/>
      <c r="E174" s="196">
        <v>202</v>
      </c>
      <c r="F174" s="189" t="s">
        <v>268</v>
      </c>
      <c r="G174" s="195"/>
      <c r="H174" s="80" t="s">
        <v>456</v>
      </c>
      <c r="I174" s="196">
        <v>30000</v>
      </c>
      <c r="J174" s="190" t="s">
        <v>524</v>
      </c>
      <c r="K174" s="196"/>
      <c r="L174" s="189"/>
      <c r="M174" s="194"/>
    </row>
    <row r="175" spans="1:13" ht="38.25" x14ac:dyDescent="0.2">
      <c r="A175" s="37">
        <v>5</v>
      </c>
      <c r="B175" s="189"/>
      <c r="C175" s="190"/>
      <c r="D175" s="189"/>
      <c r="E175" s="196">
        <v>203</v>
      </c>
      <c r="F175" s="189" t="s">
        <v>268</v>
      </c>
      <c r="G175" s="195"/>
      <c r="H175" s="80" t="s">
        <v>85</v>
      </c>
      <c r="I175" s="196">
        <v>80</v>
      </c>
      <c r="J175" s="190" t="s">
        <v>767</v>
      </c>
      <c r="K175" s="196"/>
      <c r="L175" s="189"/>
      <c r="M175" s="194"/>
    </row>
    <row r="176" spans="1:13" x14ac:dyDescent="0.2">
      <c r="A176" s="37">
        <v>6</v>
      </c>
      <c r="B176" s="189" t="s">
        <v>497</v>
      </c>
      <c r="C176" s="190"/>
      <c r="D176" s="189"/>
      <c r="E176" s="189"/>
      <c r="F176" s="189"/>
      <c r="G176" s="195"/>
      <c r="H176" s="173" t="s">
        <v>622</v>
      </c>
      <c r="I176" s="189"/>
      <c r="J176" s="190"/>
      <c r="K176" s="189"/>
      <c r="L176" s="189"/>
      <c r="M176" s="91">
        <f>+M182+M184</f>
        <v>1435000000</v>
      </c>
    </row>
    <row r="177" spans="1:13" ht="38.25" x14ac:dyDescent="0.2">
      <c r="A177" s="37">
        <v>7</v>
      </c>
      <c r="B177" s="189"/>
      <c r="C177" s="190"/>
      <c r="D177" s="189" t="s">
        <v>968</v>
      </c>
      <c r="E177" s="196">
        <v>213</v>
      </c>
      <c r="F177" s="189" t="s">
        <v>1080</v>
      </c>
      <c r="G177" s="195"/>
      <c r="H177" s="80" t="s">
        <v>790</v>
      </c>
      <c r="I177" s="196">
        <v>1000</v>
      </c>
      <c r="J177" s="190" t="s">
        <v>524</v>
      </c>
      <c r="K177" s="196">
        <v>3055</v>
      </c>
      <c r="L177" s="196">
        <v>700</v>
      </c>
      <c r="M177" s="194"/>
    </row>
    <row r="178" spans="1:13" ht="25.5" x14ac:dyDescent="0.2">
      <c r="A178" s="37"/>
      <c r="B178" s="189"/>
      <c r="C178" s="190"/>
      <c r="D178" s="189" t="s">
        <v>968</v>
      </c>
      <c r="E178" s="196">
        <v>214</v>
      </c>
      <c r="F178" s="189" t="s">
        <v>1080</v>
      </c>
      <c r="G178" s="195"/>
      <c r="H178" s="80" t="s">
        <v>1405</v>
      </c>
      <c r="I178" s="196">
        <v>5600</v>
      </c>
      <c r="J178" s="190" t="s">
        <v>524</v>
      </c>
      <c r="K178" s="196">
        <v>4206</v>
      </c>
      <c r="L178" s="196">
        <v>200</v>
      </c>
      <c r="M178" s="194"/>
    </row>
    <row r="179" spans="1:13" ht="25.5" x14ac:dyDescent="0.2">
      <c r="A179" s="37"/>
      <c r="B179" s="189"/>
      <c r="C179" s="190"/>
      <c r="D179" s="189" t="s">
        <v>968</v>
      </c>
      <c r="E179" s="196">
        <v>215</v>
      </c>
      <c r="F179" s="189" t="s">
        <v>1080</v>
      </c>
      <c r="G179" s="195"/>
      <c r="H179" s="80" t="s">
        <v>233</v>
      </c>
      <c r="I179" s="196">
        <v>11000</v>
      </c>
      <c r="J179" s="190" t="s">
        <v>524</v>
      </c>
      <c r="K179" s="196">
        <v>8745</v>
      </c>
      <c r="L179" s="189" t="s">
        <v>1233</v>
      </c>
      <c r="M179" s="194"/>
    </row>
    <row r="180" spans="1:13" ht="25.5" x14ac:dyDescent="0.2">
      <c r="A180" s="37">
        <v>7</v>
      </c>
      <c r="B180" s="189"/>
      <c r="C180" s="190"/>
      <c r="D180" s="189" t="s">
        <v>968</v>
      </c>
      <c r="E180" s="196">
        <v>216</v>
      </c>
      <c r="F180" s="189" t="s">
        <v>1080</v>
      </c>
      <c r="G180" s="195"/>
      <c r="H180" s="80" t="s">
        <v>41</v>
      </c>
      <c r="I180" s="196">
        <v>5000</v>
      </c>
      <c r="J180" s="190" t="s">
        <v>816</v>
      </c>
      <c r="K180" s="196">
        <v>3745</v>
      </c>
      <c r="L180" s="196">
        <v>1255</v>
      </c>
      <c r="M180" s="194"/>
    </row>
    <row r="181" spans="1:13" x14ac:dyDescent="0.2">
      <c r="A181" s="37">
        <v>7</v>
      </c>
      <c r="B181" s="189"/>
      <c r="C181" s="190"/>
      <c r="D181" s="175"/>
      <c r="E181" s="175"/>
      <c r="F181" s="175"/>
      <c r="G181" s="175"/>
      <c r="H181" s="175"/>
      <c r="I181" s="175"/>
      <c r="J181" s="175"/>
      <c r="K181" s="175"/>
      <c r="L181" s="175"/>
      <c r="M181" s="194"/>
    </row>
    <row r="182" spans="1:13" ht="51" x14ac:dyDescent="0.2">
      <c r="A182" s="37">
        <v>8</v>
      </c>
      <c r="B182" s="189"/>
      <c r="C182" s="190" t="s">
        <v>1271</v>
      </c>
      <c r="D182" s="189"/>
      <c r="E182" s="189"/>
      <c r="F182" s="189"/>
      <c r="G182" s="195">
        <v>295954</v>
      </c>
      <c r="H182" s="80" t="s">
        <v>1279</v>
      </c>
      <c r="I182" s="189"/>
      <c r="J182" s="190"/>
      <c r="K182" s="189"/>
      <c r="L182" s="189"/>
      <c r="M182" s="183">
        <f>+M183</f>
        <v>1335000000</v>
      </c>
    </row>
    <row r="183" spans="1:13" x14ac:dyDescent="0.2">
      <c r="A183" s="37">
        <v>9</v>
      </c>
      <c r="B183" s="189"/>
      <c r="C183" s="190"/>
      <c r="D183" s="189"/>
      <c r="E183" s="189"/>
      <c r="F183" s="189"/>
      <c r="G183" s="195"/>
      <c r="H183" s="80" t="s">
        <v>835</v>
      </c>
      <c r="I183" s="189"/>
      <c r="J183" s="190"/>
      <c r="K183" s="189"/>
      <c r="L183" s="189"/>
      <c r="M183" s="183">
        <v>1335000000</v>
      </c>
    </row>
    <row r="184" spans="1:13" ht="38.25" x14ac:dyDescent="0.2">
      <c r="A184" s="37"/>
      <c r="B184" s="189"/>
      <c r="C184" s="190" t="s">
        <v>10</v>
      </c>
      <c r="D184" s="189"/>
      <c r="E184" s="189"/>
      <c r="F184" s="189"/>
      <c r="G184" s="195">
        <v>295954</v>
      </c>
      <c r="H184" s="80" t="s">
        <v>21</v>
      </c>
      <c r="I184" s="189"/>
      <c r="J184" s="190"/>
      <c r="K184" s="189"/>
      <c r="L184" s="189"/>
      <c r="M184" s="183">
        <f>+M185</f>
        <v>100000000</v>
      </c>
    </row>
    <row r="185" spans="1:13" x14ac:dyDescent="0.2">
      <c r="A185" s="37"/>
      <c r="B185" s="189"/>
      <c r="C185" s="190"/>
      <c r="D185" s="189"/>
      <c r="E185" s="189"/>
      <c r="F185" s="189"/>
      <c r="G185" s="195"/>
      <c r="H185" s="80" t="s">
        <v>835</v>
      </c>
      <c r="I185" s="189"/>
      <c r="J185" s="190"/>
      <c r="K185" s="189"/>
      <c r="L185" s="189"/>
      <c r="M185" s="183">
        <f>20000000+132000000+100000000-152000000</f>
        <v>100000000</v>
      </c>
    </row>
    <row r="186" spans="1:13" x14ac:dyDescent="0.2">
      <c r="A186" s="37"/>
      <c r="B186" s="189"/>
      <c r="C186" s="190"/>
      <c r="D186" s="189"/>
      <c r="E186" s="189"/>
      <c r="F186" s="189"/>
      <c r="G186" s="195"/>
      <c r="H186" s="80"/>
      <c r="I186" s="189"/>
      <c r="J186" s="190"/>
      <c r="K186" s="189"/>
      <c r="L186" s="189"/>
      <c r="M186" s="183"/>
    </row>
    <row r="187" spans="1:13" x14ac:dyDescent="0.2">
      <c r="A187" s="37">
        <v>6</v>
      </c>
      <c r="B187" s="189" t="s">
        <v>955</v>
      </c>
      <c r="C187" s="190"/>
      <c r="D187" s="189"/>
      <c r="E187" s="189"/>
      <c r="F187" s="189"/>
      <c r="G187" s="195"/>
      <c r="H187" s="173" t="s">
        <v>380</v>
      </c>
      <c r="I187" s="189"/>
      <c r="J187" s="190"/>
      <c r="K187" s="189"/>
      <c r="L187" s="189"/>
      <c r="M187" s="91">
        <f>+M191</f>
        <v>106000000</v>
      </c>
    </row>
    <row r="188" spans="1:13" ht="25.5" x14ac:dyDescent="0.2">
      <c r="A188" s="37"/>
      <c r="B188" s="189"/>
      <c r="C188" s="190"/>
      <c r="D188" s="189" t="s">
        <v>385</v>
      </c>
      <c r="E188" s="189" t="s">
        <v>1407</v>
      </c>
      <c r="F188" s="189" t="s">
        <v>1080</v>
      </c>
      <c r="G188" s="195"/>
      <c r="H188" s="177" t="s">
        <v>1406</v>
      </c>
      <c r="I188" s="189" t="s">
        <v>301</v>
      </c>
      <c r="J188" s="190" t="s">
        <v>37</v>
      </c>
      <c r="K188" s="189" t="s">
        <v>301</v>
      </c>
      <c r="L188" s="189" t="s">
        <v>301</v>
      </c>
      <c r="M188" s="91"/>
    </row>
    <row r="189" spans="1:13" ht="25.5" x14ac:dyDescent="0.2">
      <c r="A189" s="37">
        <v>7</v>
      </c>
      <c r="B189" s="189"/>
      <c r="C189" s="190"/>
      <c r="D189" s="189" t="s">
        <v>385</v>
      </c>
      <c r="E189" s="196">
        <v>228</v>
      </c>
      <c r="F189" s="189" t="s">
        <v>1080</v>
      </c>
      <c r="G189" s="195"/>
      <c r="H189" s="80" t="s">
        <v>420</v>
      </c>
      <c r="I189" s="196">
        <v>6</v>
      </c>
      <c r="J189" s="190" t="s">
        <v>402</v>
      </c>
      <c r="K189" s="196">
        <v>1</v>
      </c>
      <c r="L189" s="189" t="s">
        <v>1025</v>
      </c>
      <c r="M189" s="194"/>
    </row>
    <row r="190" spans="1:13" x14ac:dyDescent="0.2">
      <c r="A190" s="37">
        <v>7</v>
      </c>
      <c r="B190" s="189"/>
      <c r="C190" s="190"/>
      <c r="D190" s="189" t="s">
        <v>385</v>
      </c>
      <c r="E190" s="196">
        <v>229</v>
      </c>
      <c r="F190" s="189" t="s">
        <v>1080</v>
      </c>
      <c r="G190" s="195"/>
      <c r="H190" s="80" t="s">
        <v>423</v>
      </c>
      <c r="I190" s="196">
        <v>6</v>
      </c>
      <c r="J190" s="190" t="s">
        <v>449</v>
      </c>
      <c r="K190" s="196">
        <v>1</v>
      </c>
      <c r="L190" s="189" t="s">
        <v>1025</v>
      </c>
      <c r="M190" s="194"/>
    </row>
    <row r="191" spans="1:13" ht="25.5" x14ac:dyDescent="0.2">
      <c r="A191" s="37">
        <v>8</v>
      </c>
      <c r="B191" s="189"/>
      <c r="C191" s="190" t="s">
        <v>10</v>
      </c>
      <c r="D191" s="189"/>
      <c r="E191" s="189"/>
      <c r="F191" s="189"/>
      <c r="G191" s="195">
        <v>296065</v>
      </c>
      <c r="H191" s="80" t="s">
        <v>644</v>
      </c>
      <c r="I191" s="189"/>
      <c r="J191" s="190"/>
      <c r="K191" s="189"/>
      <c r="L191" s="189"/>
      <c r="M191" s="183">
        <f>+M192</f>
        <v>106000000</v>
      </c>
    </row>
    <row r="192" spans="1:13" x14ac:dyDescent="0.2">
      <c r="A192" s="37">
        <v>9</v>
      </c>
      <c r="B192" s="189"/>
      <c r="C192" s="190"/>
      <c r="D192" s="189"/>
      <c r="E192" s="189"/>
      <c r="F192" s="189"/>
      <c r="G192" s="195"/>
      <c r="H192" s="80" t="s">
        <v>835</v>
      </c>
      <c r="I192" s="189"/>
      <c r="J192" s="190"/>
      <c r="K192" s="189"/>
      <c r="L192" s="189"/>
      <c r="M192" s="183">
        <f>20000000+50000000+36000000</f>
        <v>106000000</v>
      </c>
    </row>
    <row r="193" spans="1:13" x14ac:dyDescent="0.2">
      <c r="A193" s="37">
        <v>6</v>
      </c>
      <c r="B193" s="189" t="s">
        <v>285</v>
      </c>
      <c r="C193" s="190"/>
      <c r="D193" s="189"/>
      <c r="E193" s="189"/>
      <c r="F193" s="189"/>
      <c r="G193" s="195"/>
      <c r="H193" s="173" t="s">
        <v>418</v>
      </c>
      <c r="I193" s="189"/>
      <c r="J193" s="190"/>
      <c r="K193" s="189"/>
      <c r="L193" s="189"/>
      <c r="M193" s="91">
        <f>+M198+M200</f>
        <v>632261904</v>
      </c>
    </row>
    <row r="194" spans="1:13" ht="38.25" x14ac:dyDescent="0.2">
      <c r="A194" s="37"/>
      <c r="B194" s="189"/>
      <c r="C194" s="190"/>
      <c r="D194" s="189" t="s">
        <v>15</v>
      </c>
      <c r="E194" s="196">
        <v>231</v>
      </c>
      <c r="F194" s="189" t="s">
        <v>1080</v>
      </c>
      <c r="G194" s="195"/>
      <c r="H194" s="80" t="s">
        <v>294</v>
      </c>
      <c r="I194" s="196">
        <v>400</v>
      </c>
      <c r="J194" s="190" t="s">
        <v>524</v>
      </c>
      <c r="K194" s="196">
        <v>50</v>
      </c>
      <c r="L194" s="189" t="s">
        <v>1227</v>
      </c>
      <c r="M194" s="91"/>
    </row>
    <row r="195" spans="1:13" ht="25.5" x14ac:dyDescent="0.2">
      <c r="A195" s="37"/>
      <c r="B195" s="189"/>
      <c r="C195" s="190"/>
      <c r="D195" s="189" t="s">
        <v>15</v>
      </c>
      <c r="E195" s="196">
        <v>230</v>
      </c>
      <c r="F195" s="189" t="s">
        <v>1080</v>
      </c>
      <c r="G195" s="195"/>
      <c r="H195" s="80" t="s">
        <v>267</v>
      </c>
      <c r="I195" s="196">
        <v>2000</v>
      </c>
      <c r="J195" s="190" t="s">
        <v>816</v>
      </c>
      <c r="K195" s="196">
        <v>500</v>
      </c>
      <c r="L195" s="189" t="s">
        <v>1233</v>
      </c>
      <c r="M195" s="91"/>
    </row>
    <row r="196" spans="1:13" ht="38.25" x14ac:dyDescent="0.2">
      <c r="A196" s="37">
        <v>7</v>
      </c>
      <c r="B196" s="189"/>
      <c r="C196" s="190"/>
      <c r="D196" s="189" t="s">
        <v>979</v>
      </c>
      <c r="E196" s="196">
        <v>233</v>
      </c>
      <c r="F196" s="189" t="s">
        <v>1080</v>
      </c>
      <c r="G196" s="195"/>
      <c r="H196" s="80" t="s">
        <v>469</v>
      </c>
      <c r="I196" s="196">
        <v>100</v>
      </c>
      <c r="J196" s="190" t="s">
        <v>440</v>
      </c>
      <c r="K196" s="196">
        <v>0</v>
      </c>
      <c r="L196" s="189" t="s">
        <v>1173</v>
      </c>
      <c r="M196" s="194"/>
    </row>
    <row r="197" spans="1:13" x14ac:dyDescent="0.2">
      <c r="A197" s="37">
        <v>7</v>
      </c>
      <c r="B197" s="189"/>
      <c r="C197" s="190"/>
      <c r="D197" s="175"/>
      <c r="E197" s="175"/>
      <c r="F197" s="175"/>
      <c r="G197" s="175"/>
      <c r="H197" s="175"/>
      <c r="I197" s="175"/>
      <c r="J197" s="175"/>
      <c r="K197" s="175"/>
      <c r="L197" s="175"/>
      <c r="M197" s="194"/>
    </row>
    <row r="198" spans="1:13" ht="54.6" customHeight="1" x14ac:dyDescent="0.2">
      <c r="A198" s="37">
        <v>8</v>
      </c>
      <c r="B198" s="189"/>
      <c r="C198" s="190" t="s">
        <v>1271</v>
      </c>
      <c r="D198" s="189"/>
      <c r="E198" s="189"/>
      <c r="F198" s="189"/>
      <c r="G198" s="195">
        <v>295953</v>
      </c>
      <c r="H198" s="80" t="s">
        <v>1280</v>
      </c>
      <c r="I198" s="189"/>
      <c r="J198" s="190"/>
      <c r="K198" s="189"/>
      <c r="L198" s="189"/>
      <c r="M198" s="183">
        <f>+M199</f>
        <v>132261904</v>
      </c>
    </row>
    <row r="199" spans="1:13" x14ac:dyDescent="0.2">
      <c r="A199" s="37">
        <v>9</v>
      </c>
      <c r="B199" s="189"/>
      <c r="C199" s="190"/>
      <c r="D199" s="189"/>
      <c r="E199" s="189"/>
      <c r="F199" s="189"/>
      <c r="G199" s="195"/>
      <c r="H199" s="80" t="s">
        <v>835</v>
      </c>
      <c r="I199" s="189"/>
      <c r="J199" s="190"/>
      <c r="K199" s="189"/>
      <c r="L199" s="189"/>
      <c r="M199" s="183">
        <v>132261904</v>
      </c>
    </row>
    <row r="200" spans="1:13" ht="51" x14ac:dyDescent="0.2">
      <c r="A200" s="37"/>
      <c r="B200" s="189"/>
      <c r="C200" s="190" t="s">
        <v>10</v>
      </c>
      <c r="D200" s="189"/>
      <c r="E200" s="189"/>
      <c r="F200" s="189"/>
      <c r="G200" s="195">
        <v>295953</v>
      </c>
      <c r="H200" s="80" t="s">
        <v>1408</v>
      </c>
      <c r="I200" s="189"/>
      <c r="J200" s="190"/>
      <c r="K200" s="189"/>
      <c r="L200" s="189"/>
      <c r="M200" s="183">
        <f>+M201</f>
        <v>500000000</v>
      </c>
    </row>
    <row r="201" spans="1:13" x14ac:dyDescent="0.2">
      <c r="A201" s="37"/>
      <c r="B201" s="189"/>
      <c r="C201" s="190"/>
      <c r="D201" s="189"/>
      <c r="E201" s="189"/>
      <c r="F201" s="189"/>
      <c r="G201" s="195"/>
      <c r="H201" s="80" t="s">
        <v>835</v>
      </c>
      <c r="I201" s="189"/>
      <c r="J201" s="190"/>
      <c r="K201" s="189"/>
      <c r="L201" s="189"/>
      <c r="M201" s="183">
        <f>100000000+300000000+100000000</f>
        <v>500000000</v>
      </c>
    </row>
    <row r="202" spans="1:13" x14ac:dyDescent="0.2">
      <c r="A202" s="37"/>
      <c r="B202" s="189"/>
      <c r="C202" s="190"/>
      <c r="D202" s="189"/>
      <c r="E202" s="189"/>
      <c r="F202" s="189"/>
      <c r="G202" s="195"/>
      <c r="H202" s="80"/>
      <c r="I202" s="189"/>
      <c r="J202" s="190"/>
      <c r="K202" s="189"/>
      <c r="L202" s="189"/>
      <c r="M202" s="183"/>
    </row>
    <row r="203" spans="1:13" x14ac:dyDescent="0.2">
      <c r="A203" s="37">
        <v>6</v>
      </c>
      <c r="B203" s="189" t="s">
        <v>885</v>
      </c>
      <c r="C203" s="190"/>
      <c r="D203" s="189"/>
      <c r="E203" s="189"/>
      <c r="F203" s="189"/>
      <c r="G203" s="195"/>
      <c r="H203" s="173" t="s">
        <v>263</v>
      </c>
      <c r="I203" s="189"/>
      <c r="J203" s="190"/>
      <c r="K203" s="189"/>
      <c r="L203" s="189"/>
      <c r="M203" s="91">
        <f>+M206</f>
        <v>150000000</v>
      </c>
    </row>
    <row r="204" spans="1:13" ht="70.5" customHeight="1" x14ac:dyDescent="0.2">
      <c r="A204" s="37"/>
      <c r="B204" s="189"/>
      <c r="C204" s="190"/>
      <c r="D204" s="189" t="s">
        <v>232</v>
      </c>
      <c r="E204" s="196">
        <v>236</v>
      </c>
      <c r="F204" s="189" t="s">
        <v>1080</v>
      </c>
      <c r="G204" s="195"/>
      <c r="H204" s="176" t="s">
        <v>1</v>
      </c>
      <c r="I204" s="196">
        <v>47700</v>
      </c>
      <c r="J204" s="190" t="s">
        <v>524</v>
      </c>
      <c r="K204" s="196">
        <v>1029</v>
      </c>
      <c r="L204" s="196">
        <v>1000</v>
      </c>
      <c r="M204" s="91"/>
    </row>
    <row r="205" spans="1:13" ht="51" x14ac:dyDescent="0.2">
      <c r="A205" s="37">
        <v>7</v>
      </c>
      <c r="B205" s="189"/>
      <c r="C205" s="190"/>
      <c r="D205" s="189" t="s">
        <v>597</v>
      </c>
      <c r="E205" s="196">
        <v>237</v>
      </c>
      <c r="F205" s="189" t="s">
        <v>1080</v>
      </c>
      <c r="G205" s="195"/>
      <c r="H205" s="176" t="s">
        <v>959</v>
      </c>
      <c r="I205" s="196">
        <v>5</v>
      </c>
      <c r="J205" s="190" t="s">
        <v>933</v>
      </c>
      <c r="K205" s="196">
        <v>1</v>
      </c>
      <c r="L205" s="189" t="s">
        <v>301</v>
      </c>
      <c r="M205" s="194"/>
    </row>
    <row r="206" spans="1:13" ht="38.25" x14ac:dyDescent="0.2">
      <c r="A206" s="37">
        <v>8</v>
      </c>
      <c r="B206" s="189"/>
      <c r="C206" s="190" t="s">
        <v>10</v>
      </c>
      <c r="D206" s="189"/>
      <c r="E206" s="189"/>
      <c r="F206" s="189"/>
      <c r="G206" s="195">
        <v>295954</v>
      </c>
      <c r="H206" s="80" t="s">
        <v>21</v>
      </c>
      <c r="I206" s="189"/>
      <c r="J206" s="190"/>
      <c r="K206" s="189"/>
      <c r="L206" s="189"/>
      <c r="M206" s="183">
        <f>+M207</f>
        <v>150000000</v>
      </c>
    </row>
    <row r="207" spans="1:13" x14ac:dyDescent="0.2">
      <c r="A207" s="37">
        <v>9</v>
      </c>
      <c r="B207" s="189"/>
      <c r="C207" s="190"/>
      <c r="D207" s="189"/>
      <c r="E207" s="189"/>
      <c r="F207" s="189"/>
      <c r="G207" s="195"/>
      <c r="H207" s="80" t="s">
        <v>835</v>
      </c>
      <c r="I207" s="189"/>
      <c r="J207" s="190"/>
      <c r="K207" s="189"/>
      <c r="L207" s="189"/>
      <c r="M207" s="183">
        <f>75000000+100000000-25000000</f>
        <v>150000000</v>
      </c>
    </row>
    <row r="208" spans="1:13" x14ac:dyDescent="0.2">
      <c r="A208" s="37"/>
      <c r="B208" s="189"/>
      <c r="C208" s="190"/>
      <c r="D208" s="189"/>
      <c r="E208" s="189"/>
      <c r="F208" s="189"/>
      <c r="G208" s="195"/>
      <c r="H208" s="80"/>
      <c r="I208" s="189"/>
      <c r="J208" s="190"/>
      <c r="K208" s="189"/>
      <c r="L208" s="189"/>
      <c r="M208" s="183"/>
    </row>
    <row r="209" spans="1:13" x14ac:dyDescent="0.2">
      <c r="A209" s="37">
        <v>4</v>
      </c>
      <c r="B209" s="189" t="s">
        <v>1061</v>
      </c>
      <c r="C209" s="190"/>
      <c r="D209" s="189"/>
      <c r="E209" s="189"/>
      <c r="F209" s="189"/>
      <c r="G209" s="195"/>
      <c r="H209" s="173" t="s">
        <v>18</v>
      </c>
      <c r="I209" s="189"/>
      <c r="J209" s="190"/>
      <c r="K209" s="189"/>
      <c r="L209" s="189"/>
      <c r="M209" s="91">
        <f>+M211+M223</f>
        <v>1404000000</v>
      </c>
    </row>
    <row r="210" spans="1:13" ht="25.5" x14ac:dyDescent="0.2">
      <c r="A210" s="37">
        <v>5</v>
      </c>
      <c r="B210" s="189"/>
      <c r="C210" s="190"/>
      <c r="D210" s="189"/>
      <c r="E210" s="196">
        <v>247</v>
      </c>
      <c r="F210" s="189" t="s">
        <v>268</v>
      </c>
      <c r="G210" s="195"/>
      <c r="H210" s="80" t="s">
        <v>601</v>
      </c>
      <c r="I210" s="196">
        <v>10</v>
      </c>
      <c r="J210" s="190" t="s">
        <v>440</v>
      </c>
      <c r="K210" s="196"/>
      <c r="L210" s="189"/>
      <c r="M210" s="194"/>
    </row>
    <row r="211" spans="1:13" x14ac:dyDescent="0.2">
      <c r="A211" s="37">
        <v>6</v>
      </c>
      <c r="B211" s="189" t="s">
        <v>857</v>
      </c>
      <c r="C211" s="190"/>
      <c r="D211" s="189"/>
      <c r="E211" s="189"/>
      <c r="F211" s="189"/>
      <c r="G211" s="195"/>
      <c r="H211" s="173" t="s">
        <v>429</v>
      </c>
      <c r="I211" s="189"/>
      <c r="J211" s="190"/>
      <c r="K211" s="189"/>
      <c r="L211" s="189"/>
      <c r="M211" s="91">
        <f>+M218+M220</f>
        <v>1320000000</v>
      </c>
    </row>
    <row r="212" spans="1:13" ht="38.25" x14ac:dyDescent="0.2">
      <c r="A212" s="37"/>
      <c r="B212" s="189"/>
      <c r="C212" s="190"/>
      <c r="D212" s="189" t="s">
        <v>984</v>
      </c>
      <c r="E212" s="196">
        <v>248</v>
      </c>
      <c r="F212" s="189" t="s">
        <v>1080</v>
      </c>
      <c r="G212" s="195"/>
      <c r="H212" s="80" t="s">
        <v>883</v>
      </c>
      <c r="I212" s="196">
        <v>500</v>
      </c>
      <c r="J212" s="190" t="s">
        <v>195</v>
      </c>
      <c r="K212" s="196">
        <v>301</v>
      </c>
      <c r="L212" s="189" t="s">
        <v>1165</v>
      </c>
      <c r="M212" s="91"/>
    </row>
    <row r="213" spans="1:13" ht="38.25" x14ac:dyDescent="0.2">
      <c r="A213" s="37"/>
      <c r="B213" s="189"/>
      <c r="C213" s="190"/>
      <c r="D213" s="189" t="s">
        <v>326</v>
      </c>
      <c r="E213" s="196">
        <v>249</v>
      </c>
      <c r="F213" s="189" t="s">
        <v>1080</v>
      </c>
      <c r="G213" s="195"/>
      <c r="H213" s="80" t="s">
        <v>151</v>
      </c>
      <c r="I213" s="196">
        <v>2000</v>
      </c>
      <c r="J213" s="190" t="s">
        <v>308</v>
      </c>
      <c r="K213" s="196">
        <v>558</v>
      </c>
      <c r="L213" s="189" t="s">
        <v>1233</v>
      </c>
      <c r="M213" s="91"/>
    </row>
    <row r="214" spans="1:13" ht="38.25" x14ac:dyDescent="0.2">
      <c r="A214" s="37"/>
      <c r="B214" s="189"/>
      <c r="C214" s="190"/>
      <c r="D214" s="189" t="s">
        <v>326</v>
      </c>
      <c r="E214" s="196">
        <v>250</v>
      </c>
      <c r="F214" s="189" t="s">
        <v>1080</v>
      </c>
      <c r="G214" s="195"/>
      <c r="H214" s="80" t="s">
        <v>292</v>
      </c>
      <c r="I214" s="196">
        <v>1</v>
      </c>
      <c r="J214" s="190" t="s">
        <v>167</v>
      </c>
      <c r="K214" s="196" t="s">
        <v>1182</v>
      </c>
      <c r="L214" s="189" t="s">
        <v>1182</v>
      </c>
      <c r="M214" s="91"/>
    </row>
    <row r="215" spans="1:13" ht="38.25" x14ac:dyDescent="0.2">
      <c r="A215" s="37"/>
      <c r="B215" s="189"/>
      <c r="C215" s="190"/>
      <c r="D215" s="189" t="s">
        <v>6</v>
      </c>
      <c r="E215" s="196">
        <v>252</v>
      </c>
      <c r="F215" s="189" t="s">
        <v>1080</v>
      </c>
      <c r="G215" s="195"/>
      <c r="H215" s="80" t="s">
        <v>533</v>
      </c>
      <c r="I215" s="196">
        <v>100</v>
      </c>
      <c r="J215" s="190" t="s">
        <v>988</v>
      </c>
      <c r="K215" s="196">
        <v>37</v>
      </c>
      <c r="L215" s="189" t="s">
        <v>1167</v>
      </c>
      <c r="M215" s="91"/>
    </row>
    <row r="216" spans="1:13" ht="25.5" x14ac:dyDescent="0.2">
      <c r="A216" s="37">
        <v>7</v>
      </c>
      <c r="B216" s="189"/>
      <c r="C216" s="190"/>
      <c r="D216" s="189" t="s">
        <v>6</v>
      </c>
      <c r="E216" s="196">
        <v>253</v>
      </c>
      <c r="F216" s="189" t="s">
        <v>1080</v>
      </c>
      <c r="G216" s="195"/>
      <c r="H216" s="80" t="s">
        <v>634</v>
      </c>
      <c r="I216" s="196">
        <v>100</v>
      </c>
      <c r="J216" s="190" t="s">
        <v>534</v>
      </c>
      <c r="K216" s="196">
        <v>25</v>
      </c>
      <c r="L216" s="189" t="s">
        <v>1167</v>
      </c>
      <c r="M216" s="194"/>
    </row>
    <row r="217" spans="1:13" x14ac:dyDescent="0.2">
      <c r="A217" s="37">
        <v>7</v>
      </c>
      <c r="B217" s="189"/>
      <c r="C217" s="190"/>
      <c r="D217" s="175"/>
      <c r="E217" s="175"/>
      <c r="F217" s="175"/>
      <c r="G217" s="175"/>
      <c r="H217" s="175"/>
      <c r="I217" s="175"/>
      <c r="J217" s="175"/>
      <c r="K217" s="175"/>
      <c r="L217" s="175"/>
      <c r="M217" s="194"/>
    </row>
    <row r="218" spans="1:13" ht="45.6" customHeight="1" x14ac:dyDescent="0.2">
      <c r="A218" s="37">
        <v>8</v>
      </c>
      <c r="B218" s="189"/>
      <c r="C218" s="190" t="s">
        <v>1271</v>
      </c>
      <c r="D218" s="189"/>
      <c r="E218" s="189"/>
      <c r="F218" s="189"/>
      <c r="G218" s="195">
        <v>296012</v>
      </c>
      <c r="H218" s="174" t="s">
        <v>1278</v>
      </c>
      <c r="I218" s="189"/>
      <c r="J218" s="190"/>
      <c r="K218" s="189"/>
      <c r="L218" s="189"/>
      <c r="M218" s="183">
        <f>+M219</f>
        <v>340000000</v>
      </c>
    </row>
    <row r="219" spans="1:13" x14ac:dyDescent="0.2">
      <c r="A219" s="37">
        <v>9</v>
      </c>
      <c r="B219" s="189"/>
      <c r="C219" s="190"/>
      <c r="D219" s="189"/>
      <c r="E219" s="189"/>
      <c r="F219" s="189"/>
      <c r="G219" s="195"/>
      <c r="H219" s="80" t="s">
        <v>835</v>
      </c>
      <c r="I219" s="189"/>
      <c r="J219" s="190"/>
      <c r="K219" s="189"/>
      <c r="L219" s="189"/>
      <c r="M219" s="183">
        <v>340000000</v>
      </c>
    </row>
    <row r="220" spans="1:13" ht="27.75" customHeight="1" x14ac:dyDescent="0.2">
      <c r="A220" s="37"/>
      <c r="B220" s="189"/>
      <c r="C220" s="190" t="s">
        <v>10</v>
      </c>
      <c r="D220" s="189"/>
      <c r="E220" s="189"/>
      <c r="F220" s="189"/>
      <c r="G220" s="195">
        <v>296012</v>
      </c>
      <c r="H220" s="174" t="s">
        <v>576</v>
      </c>
      <c r="I220" s="189"/>
      <c r="J220" s="190"/>
      <c r="K220" s="189"/>
      <c r="L220" s="189"/>
      <c r="M220" s="183">
        <f>+M221</f>
        <v>980000000</v>
      </c>
    </row>
    <row r="221" spans="1:13" x14ac:dyDescent="0.2">
      <c r="A221" s="37"/>
      <c r="B221" s="189"/>
      <c r="C221" s="190"/>
      <c r="D221" s="189"/>
      <c r="E221" s="189"/>
      <c r="F221" s="189"/>
      <c r="G221" s="195"/>
      <c r="H221" s="80" t="s">
        <v>835</v>
      </c>
      <c r="I221" s="189"/>
      <c r="J221" s="190"/>
      <c r="K221" s="189"/>
      <c r="L221" s="189"/>
      <c r="M221" s="183">
        <f>70000000+100000000+100000000+160000000+50000000+500000000</f>
        <v>980000000</v>
      </c>
    </row>
    <row r="222" spans="1:13" x14ac:dyDescent="0.2">
      <c r="A222" s="37"/>
      <c r="B222" s="189"/>
      <c r="C222" s="190"/>
      <c r="D222" s="189"/>
      <c r="E222" s="189"/>
      <c r="F222" s="189"/>
      <c r="G222" s="195"/>
      <c r="H222" s="80"/>
      <c r="I222" s="189"/>
      <c r="J222" s="190"/>
      <c r="K222" s="189"/>
      <c r="L222" s="189"/>
      <c r="M222" s="183"/>
    </row>
    <row r="223" spans="1:13" x14ac:dyDescent="0.2">
      <c r="A223" s="37">
        <v>6</v>
      </c>
      <c r="B223" s="189" t="s">
        <v>497</v>
      </c>
      <c r="C223" s="190"/>
      <c r="D223" s="189"/>
      <c r="E223" s="189"/>
      <c r="F223" s="189"/>
      <c r="G223" s="195"/>
      <c r="H223" s="173" t="s">
        <v>40</v>
      </c>
      <c r="I223" s="189"/>
      <c r="J223" s="190"/>
      <c r="K223" s="189"/>
      <c r="L223" s="189"/>
      <c r="M223" s="91">
        <f>+M227</f>
        <v>84000000</v>
      </c>
    </row>
    <row r="224" spans="1:13" x14ac:dyDescent="0.2">
      <c r="A224" s="37"/>
      <c r="B224" s="189"/>
      <c r="C224" s="190"/>
      <c r="D224" s="189" t="s">
        <v>326</v>
      </c>
      <c r="E224" s="196">
        <v>254</v>
      </c>
      <c r="F224" s="189" t="s">
        <v>1080</v>
      </c>
      <c r="G224" s="195"/>
      <c r="H224" s="80" t="s">
        <v>921</v>
      </c>
      <c r="I224" s="196">
        <v>1</v>
      </c>
      <c r="J224" s="190" t="s">
        <v>837</v>
      </c>
      <c r="K224" s="196">
        <v>1</v>
      </c>
      <c r="L224" s="189" t="s">
        <v>301</v>
      </c>
      <c r="M224" s="91"/>
    </row>
    <row r="225" spans="1:13" ht="25.5" x14ac:dyDescent="0.2">
      <c r="A225" s="37">
        <v>7</v>
      </c>
      <c r="B225" s="189"/>
      <c r="C225" s="190"/>
      <c r="D225" s="189" t="s">
        <v>326</v>
      </c>
      <c r="E225" s="196">
        <v>255</v>
      </c>
      <c r="F225" s="189" t="s">
        <v>1080</v>
      </c>
      <c r="G225" s="195"/>
      <c r="H225" s="80" t="s">
        <v>1056</v>
      </c>
      <c r="I225" s="196">
        <v>116</v>
      </c>
      <c r="J225" s="190" t="s">
        <v>286</v>
      </c>
      <c r="K225" s="196">
        <v>91</v>
      </c>
      <c r="L225" s="189" t="s">
        <v>1167</v>
      </c>
      <c r="M225" s="194"/>
    </row>
    <row r="226" spans="1:13" x14ac:dyDescent="0.2">
      <c r="A226" s="37">
        <v>7</v>
      </c>
      <c r="B226" s="189"/>
      <c r="C226" s="190"/>
      <c r="D226" s="175"/>
      <c r="E226" s="175"/>
      <c r="F226" s="175"/>
      <c r="G226" s="175"/>
      <c r="H226" s="175"/>
      <c r="I226" s="175"/>
      <c r="J226" s="175"/>
      <c r="K226" s="175"/>
      <c r="L226" s="175"/>
      <c r="M226" s="194"/>
    </row>
    <row r="227" spans="1:13" ht="19.149999999999999" customHeight="1" x14ac:dyDescent="0.2">
      <c r="A227" s="37">
        <v>8</v>
      </c>
      <c r="B227" s="189"/>
      <c r="C227" s="190" t="s">
        <v>10</v>
      </c>
      <c r="D227" s="189"/>
      <c r="E227" s="189"/>
      <c r="F227" s="189"/>
      <c r="G227" s="195">
        <v>296012</v>
      </c>
      <c r="H227" s="80" t="s">
        <v>576</v>
      </c>
      <c r="I227" s="189"/>
      <c r="J227" s="190"/>
      <c r="K227" s="189"/>
      <c r="L227" s="189"/>
      <c r="M227" s="183">
        <f>+M228</f>
        <v>84000000</v>
      </c>
    </row>
    <row r="228" spans="1:13" x14ac:dyDescent="0.2">
      <c r="A228" s="37">
        <v>9</v>
      </c>
      <c r="B228" s="189"/>
      <c r="C228" s="190"/>
      <c r="D228" s="189"/>
      <c r="E228" s="189"/>
      <c r="F228" s="189"/>
      <c r="G228" s="195"/>
      <c r="H228" s="80" t="s">
        <v>835</v>
      </c>
      <c r="I228" s="189"/>
      <c r="J228" s="190"/>
      <c r="K228" s="189"/>
      <c r="L228" s="189"/>
      <c r="M228" s="183">
        <f>50000000+34000000</f>
        <v>84000000</v>
      </c>
    </row>
    <row r="229" spans="1:13" x14ac:dyDescent="0.2">
      <c r="A229" s="37"/>
      <c r="B229" s="189"/>
      <c r="C229" s="190"/>
      <c r="D229" s="189"/>
      <c r="E229" s="189"/>
      <c r="F229" s="189"/>
      <c r="G229" s="195"/>
      <c r="H229" s="80"/>
      <c r="I229" s="189"/>
      <c r="J229" s="190"/>
      <c r="K229" s="189"/>
      <c r="L229" s="189"/>
      <c r="M229" s="183"/>
    </row>
    <row r="230" spans="1:13" ht="25.5" x14ac:dyDescent="0.2">
      <c r="A230" s="37">
        <v>3</v>
      </c>
      <c r="B230" s="189" t="s">
        <v>841</v>
      </c>
      <c r="C230" s="190"/>
      <c r="D230" s="189"/>
      <c r="E230" s="189"/>
      <c r="F230" s="189"/>
      <c r="G230" s="195"/>
      <c r="H230" s="173" t="s">
        <v>165</v>
      </c>
      <c r="I230" s="189"/>
      <c r="J230" s="190"/>
      <c r="K230" s="189"/>
      <c r="L230" s="189"/>
      <c r="M230" s="91">
        <f>+M231+M244</f>
        <v>110000000</v>
      </c>
    </row>
    <row r="231" spans="1:13" x14ac:dyDescent="0.2">
      <c r="A231" s="37">
        <v>4</v>
      </c>
      <c r="B231" s="189" t="s">
        <v>285</v>
      </c>
      <c r="C231" s="190"/>
      <c r="D231" s="189"/>
      <c r="E231" s="189"/>
      <c r="F231" s="189"/>
      <c r="G231" s="195"/>
      <c r="H231" s="173" t="s">
        <v>590</v>
      </c>
      <c r="I231" s="189"/>
      <c r="J231" s="190"/>
      <c r="K231" s="189"/>
      <c r="L231" s="189"/>
      <c r="M231" s="91">
        <f>+M239</f>
        <v>40000000</v>
      </c>
    </row>
    <row r="232" spans="1:13" ht="25.5" x14ac:dyDescent="0.2">
      <c r="A232" s="37">
        <v>5</v>
      </c>
      <c r="B232" s="189"/>
      <c r="C232" s="190"/>
      <c r="D232" s="189"/>
      <c r="E232" s="196">
        <v>9</v>
      </c>
      <c r="F232" s="189" t="s">
        <v>268</v>
      </c>
      <c r="G232" s="195"/>
      <c r="H232" s="80" t="s">
        <v>414</v>
      </c>
      <c r="I232" s="196">
        <v>15</v>
      </c>
      <c r="J232" s="190" t="s">
        <v>440</v>
      </c>
      <c r="K232" s="196"/>
      <c r="L232" s="189"/>
      <c r="M232" s="194"/>
    </row>
    <row r="233" spans="1:13" ht="38.25" x14ac:dyDescent="0.2">
      <c r="A233" s="37"/>
      <c r="B233" s="189"/>
      <c r="C233" s="190"/>
      <c r="D233" s="189"/>
      <c r="E233" s="196">
        <v>10</v>
      </c>
      <c r="F233" s="189" t="s">
        <v>268</v>
      </c>
      <c r="G233" s="195"/>
      <c r="H233" s="80" t="s">
        <v>501</v>
      </c>
      <c r="I233" s="196">
        <v>100</v>
      </c>
      <c r="J233" s="190" t="s">
        <v>766</v>
      </c>
      <c r="K233" s="196"/>
      <c r="L233" s="189"/>
      <c r="M233" s="194"/>
    </row>
    <row r="234" spans="1:13" ht="25.5" x14ac:dyDescent="0.2">
      <c r="A234" s="37"/>
      <c r="B234" s="189"/>
      <c r="C234" s="190"/>
      <c r="D234" s="189"/>
      <c r="E234" s="196">
        <v>39</v>
      </c>
      <c r="F234" s="189" t="s">
        <v>268</v>
      </c>
      <c r="G234" s="195"/>
      <c r="H234" s="80" t="s">
        <v>403</v>
      </c>
      <c r="I234" s="196">
        <v>35</v>
      </c>
      <c r="J234" s="190" t="s">
        <v>440</v>
      </c>
      <c r="K234" s="196"/>
      <c r="L234" s="189"/>
      <c r="M234" s="194"/>
    </row>
    <row r="235" spans="1:13" ht="38.25" x14ac:dyDescent="0.2">
      <c r="A235" s="37"/>
      <c r="B235" s="189"/>
      <c r="C235" s="190"/>
      <c r="D235" s="189"/>
      <c r="E235" s="196">
        <v>40</v>
      </c>
      <c r="F235" s="189" t="s">
        <v>268</v>
      </c>
      <c r="G235" s="195"/>
      <c r="H235" s="80" t="s">
        <v>121</v>
      </c>
      <c r="I235" s="196">
        <v>100</v>
      </c>
      <c r="J235" s="190" t="s">
        <v>766</v>
      </c>
      <c r="K235" s="196"/>
      <c r="L235" s="189"/>
      <c r="M235" s="194"/>
    </row>
    <row r="236" spans="1:13" ht="25.5" x14ac:dyDescent="0.2">
      <c r="A236" s="37">
        <v>5</v>
      </c>
      <c r="B236" s="189"/>
      <c r="C236" s="190"/>
      <c r="D236" s="189"/>
      <c r="E236" s="196">
        <v>79</v>
      </c>
      <c r="F236" s="189" t="s">
        <v>268</v>
      </c>
      <c r="G236" s="195"/>
      <c r="H236" s="80" t="s">
        <v>687</v>
      </c>
      <c r="I236" s="196">
        <v>100</v>
      </c>
      <c r="J236" s="190" t="s">
        <v>766</v>
      </c>
      <c r="K236" s="196"/>
      <c r="L236" s="189"/>
      <c r="M236" s="194"/>
    </row>
    <row r="237" spans="1:13" ht="51" x14ac:dyDescent="0.2">
      <c r="A237" s="37">
        <v>5</v>
      </c>
      <c r="B237" s="189"/>
      <c r="C237" s="190"/>
      <c r="D237" s="189"/>
      <c r="E237" s="196">
        <v>619</v>
      </c>
      <c r="F237" s="189" t="s">
        <v>268</v>
      </c>
      <c r="G237" s="195"/>
      <c r="H237" s="80" t="s">
        <v>1079</v>
      </c>
      <c r="I237" s="196">
        <v>4993</v>
      </c>
      <c r="J237" s="190" t="s">
        <v>193</v>
      </c>
      <c r="K237" s="196"/>
      <c r="L237" s="189"/>
      <c r="M237" s="194"/>
    </row>
    <row r="238" spans="1:13" x14ac:dyDescent="0.2">
      <c r="A238" s="37">
        <v>5</v>
      </c>
      <c r="B238" s="189"/>
      <c r="C238" s="190"/>
      <c r="D238" s="189"/>
      <c r="E238" s="175"/>
      <c r="F238" s="175"/>
      <c r="G238" s="175"/>
      <c r="H238" s="175"/>
      <c r="I238" s="175"/>
      <c r="J238" s="175"/>
      <c r="K238" s="175"/>
      <c r="L238" s="175"/>
      <c r="M238" s="194"/>
    </row>
    <row r="239" spans="1:13" x14ac:dyDescent="0.2">
      <c r="A239" s="37">
        <v>6</v>
      </c>
      <c r="B239" s="189" t="s">
        <v>857</v>
      </c>
      <c r="C239" s="190"/>
      <c r="D239" s="189"/>
      <c r="E239" s="189"/>
      <c r="F239" s="189"/>
      <c r="G239" s="195"/>
      <c r="H239" s="173" t="s">
        <v>118</v>
      </c>
      <c r="I239" s="189"/>
      <c r="J239" s="190"/>
      <c r="K239" s="189"/>
      <c r="L239" s="189"/>
      <c r="M239" s="91">
        <f>+M242</f>
        <v>40000000</v>
      </c>
    </row>
    <row r="240" spans="1:13" ht="38.25" x14ac:dyDescent="0.2">
      <c r="A240" s="37">
        <v>7</v>
      </c>
      <c r="B240" s="189"/>
      <c r="C240" s="190"/>
      <c r="D240" s="189" t="s">
        <v>781</v>
      </c>
      <c r="E240" s="196">
        <v>553</v>
      </c>
      <c r="F240" s="189" t="s">
        <v>1380</v>
      </c>
      <c r="G240" s="195"/>
      <c r="H240" s="80" t="s">
        <v>725</v>
      </c>
      <c r="I240" s="196">
        <v>117</v>
      </c>
      <c r="J240" s="190" t="s">
        <v>618</v>
      </c>
      <c r="K240" s="196">
        <v>63</v>
      </c>
      <c r="L240" s="189" t="s">
        <v>1412</v>
      </c>
      <c r="M240" s="194"/>
    </row>
    <row r="241" spans="1:13" ht="38.25" x14ac:dyDescent="0.2">
      <c r="A241" s="37"/>
      <c r="B241" s="189"/>
      <c r="C241" s="190"/>
      <c r="D241" s="189" t="s">
        <v>781</v>
      </c>
      <c r="E241" s="196">
        <v>554</v>
      </c>
      <c r="F241" s="189" t="s">
        <v>1080</v>
      </c>
      <c r="G241" s="195"/>
      <c r="H241" s="80" t="s">
        <v>1413</v>
      </c>
      <c r="I241" s="196">
        <v>117</v>
      </c>
      <c r="J241" s="190" t="s">
        <v>618</v>
      </c>
      <c r="K241" s="196">
        <v>70</v>
      </c>
      <c r="L241" s="189" t="s">
        <v>114</v>
      </c>
      <c r="M241" s="194"/>
    </row>
    <row r="242" spans="1:13" ht="25.5" x14ac:dyDescent="0.2">
      <c r="A242" s="37">
        <v>8</v>
      </c>
      <c r="B242" s="189"/>
      <c r="C242" s="190" t="s">
        <v>10</v>
      </c>
      <c r="D242" s="189"/>
      <c r="E242" s="189"/>
      <c r="F242" s="189"/>
      <c r="G242" s="195">
        <v>295936</v>
      </c>
      <c r="H242" s="80" t="s">
        <v>281</v>
      </c>
      <c r="I242" s="189"/>
      <c r="J242" s="190"/>
      <c r="K242" s="189"/>
      <c r="L242" s="189"/>
      <c r="M242" s="183">
        <f>+M243</f>
        <v>40000000</v>
      </c>
    </row>
    <row r="243" spans="1:13" x14ac:dyDescent="0.2">
      <c r="A243" s="37">
        <v>9</v>
      </c>
      <c r="B243" s="52"/>
      <c r="C243" s="53"/>
      <c r="D243" s="52"/>
      <c r="E243" s="153"/>
      <c r="F243" s="153"/>
      <c r="G243" s="154"/>
      <c r="H243" s="162" t="s">
        <v>835</v>
      </c>
      <c r="I243" s="153"/>
      <c r="J243" s="160"/>
      <c r="K243" s="153"/>
      <c r="L243" s="153"/>
      <c r="M243" s="166">
        <f>30000000+10000000</f>
        <v>40000000</v>
      </c>
    </row>
    <row r="244" spans="1:13" ht="25.5" x14ac:dyDescent="0.2">
      <c r="A244" s="37">
        <v>4</v>
      </c>
      <c r="B244" s="52" t="s">
        <v>1069</v>
      </c>
      <c r="C244" s="53"/>
      <c r="D244" s="52"/>
      <c r="E244" s="153"/>
      <c r="F244" s="153"/>
      <c r="G244" s="154"/>
      <c r="H244" s="163" t="s">
        <v>739</v>
      </c>
      <c r="I244" s="153"/>
      <c r="J244" s="160"/>
      <c r="K244" s="153"/>
      <c r="L244" s="153"/>
      <c r="M244" s="164">
        <f>+M246</f>
        <v>70000000</v>
      </c>
    </row>
    <row r="245" spans="1:13" ht="25.5" x14ac:dyDescent="0.2">
      <c r="A245" s="37">
        <v>5</v>
      </c>
      <c r="B245" s="52"/>
      <c r="C245" s="53"/>
      <c r="D245" s="52"/>
      <c r="E245" s="165">
        <v>622</v>
      </c>
      <c r="F245" s="153" t="s">
        <v>268</v>
      </c>
      <c r="G245" s="154"/>
      <c r="H245" s="162" t="s">
        <v>372</v>
      </c>
      <c r="I245" s="165">
        <v>1</v>
      </c>
      <c r="J245" s="160" t="s">
        <v>107</v>
      </c>
      <c r="K245" s="165"/>
      <c r="L245" s="153"/>
      <c r="M245" s="161"/>
    </row>
    <row r="246" spans="1:13" x14ac:dyDescent="0.2">
      <c r="A246" s="37">
        <v>6</v>
      </c>
      <c r="B246" s="52" t="s">
        <v>857</v>
      </c>
      <c r="C246" s="53"/>
      <c r="D246" s="52"/>
      <c r="E246" s="153"/>
      <c r="F246" s="153"/>
      <c r="G246" s="154"/>
      <c r="H246" s="163" t="s">
        <v>42</v>
      </c>
      <c r="I246" s="153"/>
      <c r="J246" s="160"/>
      <c r="K246" s="153"/>
      <c r="L246" s="153"/>
      <c r="M246" s="164">
        <f>+M248</f>
        <v>70000000</v>
      </c>
    </row>
    <row r="247" spans="1:13" ht="25.5" x14ac:dyDescent="0.2">
      <c r="A247" s="37">
        <v>7</v>
      </c>
      <c r="B247" s="52"/>
      <c r="C247" s="53"/>
      <c r="D247" s="52" t="s">
        <v>597</v>
      </c>
      <c r="E247" s="165">
        <v>595</v>
      </c>
      <c r="F247" s="153" t="s">
        <v>1080</v>
      </c>
      <c r="G247" s="154"/>
      <c r="H247" s="162" t="s">
        <v>66</v>
      </c>
      <c r="I247" s="165">
        <v>1</v>
      </c>
      <c r="J247" s="160" t="s">
        <v>772</v>
      </c>
      <c r="K247" s="165">
        <v>0</v>
      </c>
      <c r="L247" s="153" t="s">
        <v>1297</v>
      </c>
      <c r="M247" s="161"/>
    </row>
    <row r="248" spans="1:13" ht="38.25" x14ac:dyDescent="0.2">
      <c r="A248" s="37">
        <v>8</v>
      </c>
      <c r="B248" s="52"/>
      <c r="C248" s="53" t="s">
        <v>10</v>
      </c>
      <c r="D248" s="52"/>
      <c r="E248" s="153"/>
      <c r="F248" s="153"/>
      <c r="G248" s="154">
        <v>295964</v>
      </c>
      <c r="H248" s="162" t="s">
        <v>896</v>
      </c>
      <c r="I248" s="153"/>
      <c r="J248" s="160"/>
      <c r="K248" s="153"/>
      <c r="L248" s="153"/>
      <c r="M248" s="166">
        <f>+M249</f>
        <v>70000000</v>
      </c>
    </row>
    <row r="249" spans="1:13" x14ac:dyDescent="0.2">
      <c r="A249" s="37">
        <v>9</v>
      </c>
      <c r="B249" s="52"/>
      <c r="C249" s="53"/>
      <c r="D249" s="52"/>
      <c r="E249" s="153"/>
      <c r="F249" s="153"/>
      <c r="G249" s="154"/>
      <c r="H249" s="162" t="s">
        <v>835</v>
      </c>
      <c r="I249" s="153"/>
      <c r="J249" s="160"/>
      <c r="K249" s="153"/>
      <c r="L249" s="153"/>
      <c r="M249" s="166">
        <v>70000000</v>
      </c>
    </row>
    <row r="250" spans="1:13" x14ac:dyDescent="0.2">
      <c r="A250" s="37"/>
      <c r="B250" s="52"/>
      <c r="C250" s="53"/>
      <c r="D250" s="52"/>
      <c r="E250" s="153"/>
      <c r="F250" s="153"/>
      <c r="G250" s="154"/>
      <c r="H250" s="162"/>
      <c r="I250" s="153"/>
      <c r="J250" s="160"/>
      <c r="K250" s="153"/>
      <c r="L250" s="153"/>
      <c r="M250" s="166"/>
    </row>
    <row r="251" spans="1:13" ht="15" x14ac:dyDescent="0.25">
      <c r="A251" s="37">
        <v>10</v>
      </c>
      <c r="B251" s="52"/>
      <c r="C251" s="53"/>
      <c r="D251" s="52"/>
      <c r="E251" s="153"/>
      <c r="F251" s="153"/>
      <c r="G251" s="154"/>
      <c r="H251" s="155" t="s">
        <v>221</v>
      </c>
      <c r="I251" s="156"/>
      <c r="J251" s="157"/>
      <c r="K251" s="156"/>
      <c r="L251" s="156"/>
      <c r="M251" s="158">
        <f>+M10+M230</f>
        <v>8481061904</v>
      </c>
    </row>
    <row r="252" spans="1:13" x14ac:dyDescent="0.2">
      <c r="A252" s="37"/>
      <c r="B252" s="52"/>
      <c r="C252" s="53"/>
      <c r="D252" s="52"/>
      <c r="E252" s="99"/>
      <c r="F252" s="99"/>
      <c r="G252" s="101"/>
      <c r="H252" s="46"/>
      <c r="I252" s="99"/>
      <c r="J252" s="100"/>
      <c r="K252" s="99"/>
      <c r="L252" s="99"/>
      <c r="M252" s="98"/>
    </row>
    <row r="253" spans="1:13" x14ac:dyDescent="0.2">
      <c r="A253" s="37"/>
      <c r="B253" s="52"/>
      <c r="C253" s="53"/>
      <c r="D253" s="52"/>
      <c r="E253" s="52"/>
      <c r="F253" s="52"/>
      <c r="G253" s="61"/>
      <c r="H253" s="42"/>
      <c r="I253" s="52"/>
      <c r="J253" s="53"/>
      <c r="K253" s="52"/>
      <c r="L253" s="52"/>
      <c r="M253" s="37"/>
    </row>
    <row r="254" spans="1:13" x14ac:dyDescent="0.2">
      <c r="A254" s="37"/>
      <c r="B254" s="52"/>
      <c r="C254" s="53"/>
      <c r="D254" s="52"/>
      <c r="E254" s="52"/>
      <c r="F254" s="52"/>
      <c r="G254" s="61"/>
      <c r="H254" s="42"/>
      <c r="I254" s="52"/>
      <c r="J254" s="53"/>
      <c r="K254" s="52"/>
      <c r="L254" s="52"/>
      <c r="M254" s="37"/>
    </row>
    <row r="255" spans="1:13" x14ac:dyDescent="0.2">
      <c r="A255" s="37"/>
      <c r="B255" s="73" t="s">
        <v>1252</v>
      </c>
      <c r="C255" s="53"/>
      <c r="D255" s="52"/>
      <c r="E255" s="52"/>
      <c r="F255" s="52"/>
      <c r="G255" s="61"/>
      <c r="H255" s="42"/>
      <c r="I255" s="52"/>
      <c r="J255" s="53"/>
      <c r="K255" s="52"/>
      <c r="L255" s="52"/>
      <c r="M255" s="37"/>
    </row>
    <row r="256" spans="1:13" x14ac:dyDescent="0.2">
      <c r="A256" s="37"/>
      <c r="B256" s="52"/>
      <c r="C256" s="53"/>
      <c r="D256" s="52"/>
      <c r="E256" s="52"/>
      <c r="F256" s="52"/>
      <c r="G256" s="61"/>
      <c r="H256" s="42"/>
      <c r="I256" s="52"/>
      <c r="J256" s="53"/>
      <c r="K256" s="52"/>
      <c r="L256" s="52"/>
      <c r="M256" s="37"/>
    </row>
    <row r="257" spans="1:13" x14ac:dyDescent="0.2">
      <c r="A257" s="37"/>
      <c r="B257" s="52"/>
      <c r="C257" s="53"/>
      <c r="D257" s="52"/>
      <c r="E257" s="52"/>
      <c r="F257" s="52"/>
      <c r="G257" s="61"/>
      <c r="H257" s="42"/>
      <c r="I257" s="52"/>
      <c r="J257" s="53"/>
      <c r="K257" s="52"/>
      <c r="L257" s="52"/>
      <c r="M257" s="37"/>
    </row>
    <row r="258" spans="1:13" x14ac:dyDescent="0.2">
      <c r="A258" s="37"/>
      <c r="B258" s="52"/>
      <c r="C258" s="53"/>
      <c r="D258" s="52"/>
      <c r="E258" s="52"/>
      <c r="F258" s="52"/>
      <c r="G258" s="61"/>
      <c r="H258" s="42"/>
      <c r="I258" s="52"/>
      <c r="J258" s="53"/>
      <c r="K258" s="52"/>
      <c r="L258" s="52"/>
      <c r="M258" s="37"/>
    </row>
    <row r="259" spans="1:13" x14ac:dyDescent="0.2">
      <c r="A259" s="37"/>
      <c r="B259" s="52"/>
      <c r="C259" s="53"/>
      <c r="D259" s="52"/>
      <c r="E259" s="52"/>
      <c r="F259" s="52"/>
      <c r="G259" s="61"/>
      <c r="H259" s="42"/>
      <c r="I259" s="52"/>
      <c r="J259" s="53"/>
      <c r="K259" s="52"/>
      <c r="L259" s="52"/>
      <c r="M259" s="37"/>
    </row>
    <row r="260" spans="1:13" x14ac:dyDescent="0.2">
      <c r="A260" s="37"/>
      <c r="B260" s="52"/>
      <c r="C260" s="53"/>
      <c r="D260" s="52"/>
      <c r="E260" s="52"/>
      <c r="F260" s="52"/>
      <c r="G260" s="61"/>
      <c r="H260" s="42"/>
      <c r="I260" s="52"/>
      <c r="J260" s="53"/>
      <c r="K260" s="52"/>
      <c r="L260" s="52"/>
      <c r="M260" s="37"/>
    </row>
    <row r="261" spans="1:13" x14ac:dyDescent="0.2">
      <c r="A261" s="37"/>
      <c r="B261" s="52"/>
      <c r="C261" s="53"/>
      <c r="D261" s="52"/>
      <c r="E261" s="52"/>
      <c r="F261" s="52"/>
      <c r="G261" s="61"/>
      <c r="H261" s="85"/>
      <c r="I261" s="52"/>
      <c r="J261" s="53"/>
      <c r="K261" s="52"/>
      <c r="L261" s="52"/>
      <c r="M261" s="37"/>
    </row>
    <row r="262" spans="1:13" x14ac:dyDescent="0.2">
      <c r="A262" s="37"/>
      <c r="B262" s="52"/>
      <c r="C262" s="53"/>
      <c r="D262" s="52"/>
      <c r="E262" s="52"/>
      <c r="F262" s="52"/>
      <c r="G262" s="61"/>
      <c r="H262" s="83"/>
      <c r="I262" s="84"/>
      <c r="J262" s="84"/>
      <c r="K262" s="84"/>
      <c r="L262" s="84"/>
      <c r="M262" s="84"/>
    </row>
    <row r="263" spans="1:13" x14ac:dyDescent="0.2">
      <c r="A263" s="37"/>
      <c r="B263" s="52"/>
      <c r="C263" s="53"/>
      <c r="D263" s="52"/>
      <c r="E263" s="52"/>
      <c r="F263" s="52"/>
      <c r="G263" s="61"/>
      <c r="H263" s="42"/>
      <c r="I263" s="52"/>
      <c r="J263" s="53"/>
      <c r="K263" s="52"/>
      <c r="L263" s="52"/>
      <c r="M263" s="37"/>
    </row>
    <row r="266" spans="1:13" ht="15" x14ac:dyDescent="0.25">
      <c r="H266" s="86"/>
      <c r="J266" s="77"/>
      <c r="M266" s="64"/>
    </row>
    <row r="268" spans="1:13" x14ac:dyDescent="0.2">
      <c r="H268" s="95"/>
      <c r="M268" s="38"/>
    </row>
    <row r="269" spans="1:13" x14ac:dyDescent="0.2">
      <c r="H269" s="95"/>
      <c r="M269" s="38"/>
    </row>
    <row r="270" spans="1:13" x14ac:dyDescent="0.2">
      <c r="H270" s="103"/>
      <c r="I270" s="104"/>
      <c r="J270" s="105"/>
      <c r="K270" s="104"/>
      <c r="L270" s="104"/>
      <c r="M270" s="92"/>
    </row>
    <row r="272" spans="1:13" x14ac:dyDescent="0.2">
      <c r="M272" s="38"/>
    </row>
    <row r="274" spans="13:13" x14ac:dyDescent="0.2">
      <c r="M274" s="37"/>
    </row>
  </sheetData>
  <mergeCells count="1">
    <mergeCell ref="B2:M2"/>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2</vt:i4>
      </vt:variant>
    </vt:vector>
  </HeadingPairs>
  <TitlesOfParts>
    <vt:vector size="32" baseType="lpstr">
      <vt:lpstr>S. GENERAL</vt:lpstr>
      <vt:lpstr>S. JURIDICA</vt:lpstr>
      <vt:lpstr>S. GOBIERNO</vt:lpstr>
      <vt:lpstr>S. EDUCACION</vt:lpstr>
      <vt:lpstr>S. PLANEACION</vt:lpstr>
      <vt:lpstr>S. FUNCION PUBLICA</vt:lpstr>
      <vt:lpstr>S INTEGRACION REGIONAL</vt:lpstr>
      <vt:lpstr>S TICs</vt:lpstr>
      <vt:lpstr>S DLLO SOCIAL</vt:lpstr>
      <vt:lpstr>S COMPETITIVIDAD Y DLLO ECO</vt:lpstr>
      <vt:lpstr>S AMBIENTE</vt:lpstr>
      <vt:lpstr>S MINAS Y ENERGIA</vt:lpstr>
      <vt:lpstr>S TRANSPORTE Y MOVILIDAD</vt:lpstr>
      <vt:lpstr>S AGRICULTURA</vt:lpstr>
      <vt:lpstr>S CT-I</vt:lpstr>
      <vt:lpstr>S COOPERACION</vt:lpstr>
      <vt:lpstr>UAE PREVENCION RIESGO</vt:lpstr>
      <vt:lpstr>UDEC</vt:lpstr>
      <vt:lpstr>UAE VIVIENDA</vt:lpstr>
      <vt:lpstr>S SALUD</vt:lpstr>
      <vt:lpstr>ID ACCION COMUNAL</vt:lpstr>
      <vt:lpstr>S HACIENDA</vt:lpstr>
      <vt:lpstr>BENEFICENCIA</vt:lpstr>
      <vt:lpstr>I DEPORTES</vt:lpstr>
      <vt:lpstr>CORPORACION SOCIAL</vt:lpstr>
      <vt:lpstr>I CULTURA Y TURISMO</vt:lpstr>
      <vt:lpstr>U BOSQUES</vt:lpstr>
      <vt:lpstr>ICCU</vt:lpstr>
      <vt:lpstr>Hoja1</vt:lpstr>
      <vt:lpstr>ICCU2</vt:lpstr>
      <vt:lpstr>'S. GENERAL'!Área_de_impresión</vt:lpstr>
      <vt:lpstr>'S. JURIDICA'!Área_de_impresión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Anilo Martinez Varela</dc:creator>
  <cp:lastModifiedBy>German Rodriguez Gil</cp:lastModifiedBy>
  <cp:lastPrinted>2013-09-12T22:24:41Z</cp:lastPrinted>
  <dcterms:created xsi:type="dcterms:W3CDTF">2012-10-05T14:51:44Z</dcterms:created>
  <dcterms:modified xsi:type="dcterms:W3CDTF">2014-02-03T16:31:02Z</dcterms:modified>
</cp:coreProperties>
</file>