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dfernandez\Documents\Pagina - Regalías\"/>
    </mc:Choice>
  </mc:AlternateContent>
  <bookViews>
    <workbookView xWindow="-315" yWindow="2745" windowWidth="10710" windowHeight="4365" firstSheet="1" activeTab="1"/>
  </bookViews>
  <sheets>
    <sheet name="Hoja1" sheetId="1" state="hidden" r:id="rId1"/>
    <sheet name="MUNICIPIOS" sheetId="13" r:id="rId2"/>
    <sheet name="MUNICIPIOS G" sheetId="4" r:id="rId3"/>
    <sheet name="Grafico municipios" sheetId="11" state="hidden" r:id="rId4"/>
    <sheet name="PROVINCIAS G" sheetId="6" r:id="rId5"/>
    <sheet name="Gráfico provincias" sheetId="8" state="hidden" r:id="rId6"/>
    <sheet name="COMPARATIVO" sheetId="14" state="hidden" r:id="rId7"/>
    <sheet name="SECTORES" sheetId="7" state="hidden" r:id="rId8"/>
    <sheet name="Gráfico sectores" sheetId="10" state="hidden" r:id="rId9"/>
    <sheet name="Gráfico N. project" sheetId="12" state="hidden" r:id="rId10"/>
  </sheets>
  <definedNames>
    <definedName name="_xlnm._FilterDatabase" localSheetId="6" hidden="1">COMPARATIVO!$A$3:$M$119</definedName>
    <definedName name="_xlnm._FilterDatabase" localSheetId="0" hidden="1">Hoja1!$C$2:$R$180</definedName>
    <definedName name="_xlnm._FilterDatabase" localSheetId="1" hidden="1">MUNICIPIOS!$A$3:$O$119</definedName>
    <definedName name="_xlnm._FilterDatabase" localSheetId="2" hidden="1">'MUNICIPIOS G'!$A$3:$N$120</definedName>
    <definedName name="_xlnm._FilterDatabase" localSheetId="7" hidden="1">SECTORES!$G$6:$H$6</definedName>
    <definedName name="_xlnm.Print_Titles" localSheetId="2">'MUNICIPIOS G'!$1:$3</definedName>
  </definedNames>
  <calcPr calcId="152511"/>
</workbook>
</file>

<file path=xl/calcChain.xml><?xml version="1.0" encoding="utf-8"?>
<calcChain xmlns="http://schemas.openxmlformats.org/spreadsheetml/2006/main">
  <c r="E111" i="7" l="1"/>
  <c r="D111" i="7"/>
  <c r="E108" i="7"/>
  <c r="H16" i="7" s="1"/>
  <c r="D108" i="7"/>
  <c r="E101" i="7"/>
  <c r="D101" i="7"/>
  <c r="E91" i="7"/>
  <c r="H13" i="7" s="1"/>
  <c r="D91" i="7"/>
  <c r="E88" i="7"/>
  <c r="D88" i="7"/>
  <c r="E81" i="7"/>
  <c r="H11" i="7" s="1"/>
  <c r="D81" i="7"/>
  <c r="E64" i="7"/>
  <c r="D64" i="7"/>
  <c r="E56" i="7"/>
  <c r="H9" i="7" s="1"/>
  <c r="D56" i="7"/>
  <c r="E52" i="7"/>
  <c r="E51" i="7"/>
  <c r="D51" i="7"/>
  <c r="J31" i="7"/>
  <c r="H31" i="7"/>
  <c r="I29" i="7" s="1"/>
  <c r="I30" i="7"/>
  <c r="I28" i="7"/>
  <c r="I27" i="7"/>
  <c r="I26" i="7"/>
  <c r="I24" i="7"/>
  <c r="I23" i="7"/>
  <c r="I22" i="7"/>
  <c r="I20" i="7"/>
  <c r="H17" i="7"/>
  <c r="G17" i="7"/>
  <c r="G16" i="7"/>
  <c r="H15" i="7"/>
  <c r="G15" i="7"/>
  <c r="H14" i="7"/>
  <c r="G14" i="7"/>
  <c r="G13" i="7"/>
  <c r="E13" i="7"/>
  <c r="D13" i="7"/>
  <c r="H12" i="7"/>
  <c r="G12" i="7"/>
  <c r="G11" i="7"/>
  <c r="H10" i="7"/>
  <c r="G10" i="7"/>
  <c r="G9" i="7"/>
  <c r="H8" i="7"/>
  <c r="G8" i="7"/>
  <c r="H7" i="7"/>
  <c r="G7" i="7"/>
  <c r="K120" i="14"/>
  <c r="L120" i="14" s="1"/>
  <c r="P120" i="14" s="1"/>
  <c r="H120" i="14"/>
  <c r="P119" i="14"/>
  <c r="H119" i="14"/>
  <c r="K119" i="14" s="1"/>
  <c r="L119" i="14" s="1"/>
  <c r="N119" i="14" s="1"/>
  <c r="K118" i="14"/>
  <c r="L118" i="14" s="1"/>
  <c r="H118" i="14"/>
  <c r="L117" i="14"/>
  <c r="H117" i="14"/>
  <c r="K117" i="14" s="1"/>
  <c r="N116" i="14"/>
  <c r="K116" i="14"/>
  <c r="L116" i="14" s="1"/>
  <c r="P116" i="14" s="1"/>
  <c r="H116" i="14"/>
  <c r="H115" i="14"/>
  <c r="K115" i="14" s="1"/>
  <c r="L115" i="14" s="1"/>
  <c r="N115" i="14" s="1"/>
  <c r="K114" i="14"/>
  <c r="L114" i="14" s="1"/>
  <c r="H114" i="14"/>
  <c r="H113" i="14"/>
  <c r="K113" i="14" s="1"/>
  <c r="L113" i="14" s="1"/>
  <c r="K112" i="14"/>
  <c r="L112" i="14" s="1"/>
  <c r="P112" i="14" s="1"/>
  <c r="H112" i="14"/>
  <c r="P111" i="14"/>
  <c r="H111" i="14"/>
  <c r="K111" i="14" s="1"/>
  <c r="L111" i="14" s="1"/>
  <c r="N111" i="14" s="1"/>
  <c r="K110" i="14"/>
  <c r="L110" i="14" s="1"/>
  <c r="H110" i="14"/>
  <c r="L109" i="14"/>
  <c r="H109" i="14"/>
  <c r="K109" i="14" s="1"/>
  <c r="N108" i="14"/>
  <c r="K108" i="14"/>
  <c r="L108" i="14" s="1"/>
  <c r="P108" i="14" s="1"/>
  <c r="H108" i="14"/>
  <c r="H107" i="14"/>
  <c r="K107" i="14" s="1"/>
  <c r="L107" i="14" s="1"/>
  <c r="N107" i="14" s="1"/>
  <c r="K106" i="14"/>
  <c r="L106" i="14" s="1"/>
  <c r="H106" i="14"/>
  <c r="L105" i="14"/>
  <c r="K105" i="14"/>
  <c r="H104" i="14"/>
  <c r="K104" i="14" s="1"/>
  <c r="L104" i="14" s="1"/>
  <c r="K103" i="14"/>
  <c r="L103" i="14" s="1"/>
  <c r="P103" i="14" s="1"/>
  <c r="H103" i="14"/>
  <c r="P102" i="14"/>
  <c r="H102" i="14"/>
  <c r="K102" i="14" s="1"/>
  <c r="L102" i="14" s="1"/>
  <c r="N102" i="14" s="1"/>
  <c r="K101" i="14"/>
  <c r="L101" i="14" s="1"/>
  <c r="H101" i="14"/>
  <c r="L100" i="14"/>
  <c r="H100" i="14"/>
  <c r="K100" i="14" s="1"/>
  <c r="N99" i="14"/>
  <c r="K99" i="14"/>
  <c r="L99" i="14" s="1"/>
  <c r="P99" i="14" s="1"/>
  <c r="H99" i="14"/>
  <c r="H98" i="14"/>
  <c r="K98" i="14" s="1"/>
  <c r="L98" i="14" s="1"/>
  <c r="N98" i="14" s="1"/>
  <c r="K97" i="14"/>
  <c r="L97" i="14" s="1"/>
  <c r="H97" i="14"/>
  <c r="H96" i="14"/>
  <c r="K96" i="14" s="1"/>
  <c r="L96" i="14" s="1"/>
  <c r="K95" i="14"/>
  <c r="L95" i="14" s="1"/>
  <c r="P95" i="14" s="1"/>
  <c r="H95" i="14"/>
  <c r="P94" i="14"/>
  <c r="H94" i="14"/>
  <c r="K94" i="14" s="1"/>
  <c r="L94" i="14" s="1"/>
  <c r="N94" i="14" s="1"/>
  <c r="K93" i="14"/>
  <c r="L93" i="14" s="1"/>
  <c r="H93" i="14"/>
  <c r="L92" i="14"/>
  <c r="H92" i="14"/>
  <c r="K92" i="14" s="1"/>
  <c r="N91" i="14"/>
  <c r="K91" i="14"/>
  <c r="L91" i="14" s="1"/>
  <c r="P91" i="14" s="1"/>
  <c r="H91" i="14"/>
  <c r="H90" i="14"/>
  <c r="K90" i="14" s="1"/>
  <c r="L90" i="14" s="1"/>
  <c r="N90" i="14" s="1"/>
  <c r="K89" i="14"/>
  <c r="L89" i="14" s="1"/>
  <c r="H89" i="14"/>
  <c r="H88" i="14"/>
  <c r="K88" i="14" s="1"/>
  <c r="L88" i="14" s="1"/>
  <c r="K87" i="14"/>
  <c r="L87" i="14" s="1"/>
  <c r="P87" i="14" s="1"/>
  <c r="H87" i="14"/>
  <c r="P86" i="14"/>
  <c r="H86" i="14"/>
  <c r="K86" i="14" s="1"/>
  <c r="L86" i="14" s="1"/>
  <c r="N86" i="14" s="1"/>
  <c r="K85" i="14"/>
  <c r="L85" i="14" s="1"/>
  <c r="H85" i="14"/>
  <c r="L84" i="14"/>
  <c r="H84" i="14"/>
  <c r="K84" i="14" s="1"/>
  <c r="N83" i="14"/>
  <c r="K83" i="14"/>
  <c r="L83" i="14" s="1"/>
  <c r="P83" i="14" s="1"/>
  <c r="H83" i="14"/>
  <c r="H82" i="14"/>
  <c r="K82" i="14" s="1"/>
  <c r="L82" i="14" s="1"/>
  <c r="N82" i="14" s="1"/>
  <c r="K81" i="14"/>
  <c r="L81" i="14" s="1"/>
  <c r="H81" i="14"/>
  <c r="I80" i="14"/>
  <c r="H80" i="14"/>
  <c r="K80" i="14" s="1"/>
  <c r="L80" i="14" s="1"/>
  <c r="P79" i="14"/>
  <c r="H79" i="14"/>
  <c r="K79" i="14" s="1"/>
  <c r="L79" i="14" s="1"/>
  <c r="N79" i="14" s="1"/>
  <c r="K78" i="14"/>
  <c r="L78" i="14" s="1"/>
  <c r="H78" i="14"/>
  <c r="L77" i="14"/>
  <c r="H77" i="14"/>
  <c r="K77" i="14" s="1"/>
  <c r="N76" i="14"/>
  <c r="K76" i="14"/>
  <c r="L76" i="14" s="1"/>
  <c r="P76" i="14" s="1"/>
  <c r="H76" i="14"/>
  <c r="H75" i="14"/>
  <c r="K75" i="14" s="1"/>
  <c r="L75" i="14" s="1"/>
  <c r="N75" i="14" s="1"/>
  <c r="K74" i="14"/>
  <c r="L74" i="14" s="1"/>
  <c r="H74" i="14"/>
  <c r="H73" i="14"/>
  <c r="K73" i="14" s="1"/>
  <c r="L73" i="14" s="1"/>
  <c r="K72" i="14"/>
  <c r="L72" i="14" s="1"/>
  <c r="P72" i="14" s="1"/>
  <c r="H72" i="14"/>
  <c r="P71" i="14"/>
  <c r="H71" i="14"/>
  <c r="K71" i="14" s="1"/>
  <c r="L71" i="14" s="1"/>
  <c r="N71" i="14" s="1"/>
  <c r="K70" i="14"/>
  <c r="L70" i="14" s="1"/>
  <c r="H70" i="14"/>
  <c r="L69" i="14"/>
  <c r="H69" i="14"/>
  <c r="K69" i="14" s="1"/>
  <c r="N68" i="14"/>
  <c r="K68" i="14"/>
  <c r="L68" i="14" s="1"/>
  <c r="P68" i="14" s="1"/>
  <c r="H68" i="14"/>
  <c r="H67" i="14"/>
  <c r="K67" i="14" s="1"/>
  <c r="L67" i="14" s="1"/>
  <c r="N67" i="14" s="1"/>
  <c r="K66" i="14"/>
  <c r="L66" i="14" s="1"/>
  <c r="H66" i="14"/>
  <c r="H65" i="14"/>
  <c r="K65" i="14" s="1"/>
  <c r="L65" i="14" s="1"/>
  <c r="K64" i="14"/>
  <c r="L64" i="14" s="1"/>
  <c r="P64" i="14" s="1"/>
  <c r="H64" i="14"/>
  <c r="P63" i="14"/>
  <c r="H63" i="14"/>
  <c r="K63" i="14" s="1"/>
  <c r="L63" i="14" s="1"/>
  <c r="N63" i="14" s="1"/>
  <c r="K62" i="14"/>
  <c r="L62" i="14" s="1"/>
  <c r="H62" i="14"/>
  <c r="L61" i="14"/>
  <c r="H61" i="14"/>
  <c r="K61" i="14" s="1"/>
  <c r="N60" i="14"/>
  <c r="H60" i="14"/>
  <c r="K60" i="14" s="1"/>
  <c r="L60" i="14" s="1"/>
  <c r="P60" i="14" s="1"/>
  <c r="P59" i="14"/>
  <c r="H59" i="14"/>
  <c r="K59" i="14" s="1"/>
  <c r="L59" i="14" s="1"/>
  <c r="N59" i="14" s="1"/>
  <c r="K58" i="14"/>
  <c r="L58" i="14" s="1"/>
  <c r="H58" i="14"/>
  <c r="L57" i="14"/>
  <c r="H57" i="14"/>
  <c r="K57" i="14" s="1"/>
  <c r="N56" i="14"/>
  <c r="H56" i="14"/>
  <c r="K56" i="14" s="1"/>
  <c r="L56" i="14" s="1"/>
  <c r="P56" i="14" s="1"/>
  <c r="P55" i="14"/>
  <c r="H55" i="14"/>
  <c r="K55" i="14" s="1"/>
  <c r="L55" i="14" s="1"/>
  <c r="N55" i="14" s="1"/>
  <c r="K54" i="14"/>
  <c r="L54" i="14" s="1"/>
  <c r="H54" i="14"/>
  <c r="L53" i="14"/>
  <c r="H53" i="14"/>
  <c r="K53" i="14" s="1"/>
  <c r="N52" i="14"/>
  <c r="H52" i="14"/>
  <c r="K52" i="14" s="1"/>
  <c r="L52" i="14" s="1"/>
  <c r="P52" i="14" s="1"/>
  <c r="P51" i="14"/>
  <c r="H51" i="14"/>
  <c r="K51" i="14" s="1"/>
  <c r="L51" i="14" s="1"/>
  <c r="N51" i="14" s="1"/>
  <c r="K50" i="14"/>
  <c r="L50" i="14" s="1"/>
  <c r="H50" i="14"/>
  <c r="L49" i="14"/>
  <c r="H49" i="14"/>
  <c r="K49" i="14" s="1"/>
  <c r="N48" i="14"/>
  <c r="H48" i="14"/>
  <c r="K48" i="14" s="1"/>
  <c r="L48" i="14" s="1"/>
  <c r="P48" i="14" s="1"/>
  <c r="P47" i="14"/>
  <c r="H47" i="14"/>
  <c r="K47" i="14" s="1"/>
  <c r="L47" i="14" s="1"/>
  <c r="N47" i="14" s="1"/>
  <c r="K46" i="14"/>
  <c r="L46" i="14" s="1"/>
  <c r="H46" i="14"/>
  <c r="L45" i="14"/>
  <c r="H45" i="14"/>
  <c r="K45" i="14" s="1"/>
  <c r="N44" i="14"/>
  <c r="H44" i="14"/>
  <c r="K44" i="14" s="1"/>
  <c r="L44" i="14" s="1"/>
  <c r="P44" i="14" s="1"/>
  <c r="P43" i="14"/>
  <c r="H43" i="14"/>
  <c r="K43" i="14" s="1"/>
  <c r="L43" i="14" s="1"/>
  <c r="N43" i="14" s="1"/>
  <c r="K42" i="14"/>
  <c r="L42" i="14" s="1"/>
  <c r="H42" i="14"/>
  <c r="H41" i="14"/>
  <c r="K41" i="14" s="1"/>
  <c r="L41" i="14" s="1"/>
  <c r="K40" i="14"/>
  <c r="L40" i="14" s="1"/>
  <c r="H40" i="14"/>
  <c r="H39" i="14"/>
  <c r="K39" i="14" s="1"/>
  <c r="L39" i="14" s="1"/>
  <c r="K38" i="14"/>
  <c r="L38" i="14" s="1"/>
  <c r="H38" i="14"/>
  <c r="H37" i="14"/>
  <c r="K37" i="14" s="1"/>
  <c r="L37" i="14" s="1"/>
  <c r="K36" i="14"/>
  <c r="L36" i="14" s="1"/>
  <c r="H36" i="14"/>
  <c r="H35" i="14"/>
  <c r="K35" i="14" s="1"/>
  <c r="L35" i="14" s="1"/>
  <c r="K34" i="14"/>
  <c r="L34" i="14" s="1"/>
  <c r="H34" i="14"/>
  <c r="H33" i="14"/>
  <c r="K33" i="14" s="1"/>
  <c r="L33" i="14" s="1"/>
  <c r="K32" i="14"/>
  <c r="L32" i="14" s="1"/>
  <c r="H32" i="14"/>
  <c r="H31" i="14"/>
  <c r="K31" i="14" s="1"/>
  <c r="L31" i="14" s="1"/>
  <c r="K30" i="14"/>
  <c r="L30" i="14" s="1"/>
  <c r="H30" i="14"/>
  <c r="H29" i="14"/>
  <c r="K29" i="14" s="1"/>
  <c r="L29" i="14" s="1"/>
  <c r="K28" i="14"/>
  <c r="L28" i="14" s="1"/>
  <c r="H28" i="14"/>
  <c r="H27" i="14"/>
  <c r="K27" i="14" s="1"/>
  <c r="L27" i="14" s="1"/>
  <c r="K26" i="14"/>
  <c r="L26" i="14" s="1"/>
  <c r="H26" i="14"/>
  <c r="H25" i="14"/>
  <c r="K25" i="14" s="1"/>
  <c r="L25" i="14" s="1"/>
  <c r="K24" i="14"/>
  <c r="L24" i="14" s="1"/>
  <c r="H24" i="14"/>
  <c r="H23" i="14"/>
  <c r="K23" i="14" s="1"/>
  <c r="L23" i="14" s="1"/>
  <c r="K22" i="14"/>
  <c r="L22" i="14" s="1"/>
  <c r="H22" i="14"/>
  <c r="H21" i="14"/>
  <c r="K21" i="14" s="1"/>
  <c r="L21" i="14" s="1"/>
  <c r="K20" i="14"/>
  <c r="L20" i="14" s="1"/>
  <c r="H20" i="14"/>
  <c r="H19" i="14"/>
  <c r="K19" i="14" s="1"/>
  <c r="L19" i="14" s="1"/>
  <c r="K18" i="14"/>
  <c r="L18" i="14" s="1"/>
  <c r="I18" i="14"/>
  <c r="H18" i="14"/>
  <c r="K17" i="14"/>
  <c r="L17" i="14" s="1"/>
  <c r="H17" i="14"/>
  <c r="H16" i="14"/>
  <c r="K16" i="14" s="1"/>
  <c r="L16" i="14" s="1"/>
  <c r="K15" i="14"/>
  <c r="L15" i="14" s="1"/>
  <c r="H15" i="14"/>
  <c r="H14" i="14"/>
  <c r="K14" i="14" s="1"/>
  <c r="L14" i="14" s="1"/>
  <c r="H13" i="14"/>
  <c r="K13" i="14" s="1"/>
  <c r="L13" i="14" s="1"/>
  <c r="H12" i="14"/>
  <c r="K12" i="14" s="1"/>
  <c r="L12" i="14" s="1"/>
  <c r="K11" i="14"/>
  <c r="L11" i="14" s="1"/>
  <c r="H11" i="14"/>
  <c r="H10" i="14"/>
  <c r="K10" i="14" s="1"/>
  <c r="L10" i="14" s="1"/>
  <c r="H9" i="14"/>
  <c r="K9" i="14" s="1"/>
  <c r="L9" i="14" s="1"/>
  <c r="H8" i="14"/>
  <c r="K8" i="14" s="1"/>
  <c r="L8" i="14" s="1"/>
  <c r="K7" i="14"/>
  <c r="L7" i="14" s="1"/>
  <c r="H7" i="14"/>
  <c r="H6" i="14"/>
  <c r="K6" i="14" s="1"/>
  <c r="L6" i="14" s="1"/>
  <c r="H5" i="14"/>
  <c r="K5" i="14" s="1"/>
  <c r="L5" i="14" s="1"/>
  <c r="H4" i="14"/>
  <c r="K4" i="14" s="1"/>
  <c r="L4" i="14" s="1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K109" i="4"/>
  <c r="J89" i="4"/>
  <c r="J16" i="4"/>
  <c r="J115" i="4"/>
  <c r="J93" i="4"/>
  <c r="J82" i="4"/>
  <c r="J100" i="4"/>
  <c r="L119" i="13"/>
  <c r="M119" i="13" s="1"/>
  <c r="J120" i="4" s="1"/>
  <c r="K119" i="13"/>
  <c r="J119" i="13"/>
  <c r="N119" i="13" s="1"/>
  <c r="O119" i="13" s="1"/>
  <c r="L118" i="13"/>
  <c r="M118" i="13" s="1"/>
  <c r="J119" i="4" s="1"/>
  <c r="K118" i="13"/>
  <c r="J118" i="13"/>
  <c r="N118" i="13" s="1"/>
  <c r="L117" i="13"/>
  <c r="M117" i="13" s="1"/>
  <c r="J118" i="4" s="1"/>
  <c r="K117" i="13"/>
  <c r="J117" i="13"/>
  <c r="N117" i="13" s="1"/>
  <c r="N116" i="13"/>
  <c r="M116" i="13"/>
  <c r="J117" i="4" s="1"/>
  <c r="J116" i="13"/>
  <c r="N115" i="13"/>
  <c r="L115" i="13"/>
  <c r="M115" i="13" s="1"/>
  <c r="J116" i="4" s="1"/>
  <c r="J115" i="13"/>
  <c r="O114" i="13"/>
  <c r="M114" i="13"/>
  <c r="L114" i="13"/>
  <c r="J114" i="13"/>
  <c r="N114" i="13" s="1"/>
  <c r="K115" i="4" s="1"/>
  <c r="L115" i="4" s="1"/>
  <c r="L113" i="13"/>
  <c r="M113" i="13" s="1"/>
  <c r="J114" i="4" s="1"/>
  <c r="J113" i="13"/>
  <c r="N113" i="13" s="1"/>
  <c r="M112" i="13"/>
  <c r="J113" i="4" s="1"/>
  <c r="L112" i="13"/>
  <c r="J112" i="13"/>
  <c r="N112" i="13" s="1"/>
  <c r="N111" i="13"/>
  <c r="L111" i="13"/>
  <c r="M111" i="13" s="1"/>
  <c r="J112" i="4" s="1"/>
  <c r="J111" i="13"/>
  <c r="L110" i="13"/>
  <c r="K110" i="13"/>
  <c r="M110" i="13" s="1"/>
  <c r="J111" i="4" s="1"/>
  <c r="J110" i="13"/>
  <c r="N110" i="13" s="1"/>
  <c r="K111" i="4" s="1"/>
  <c r="M109" i="13"/>
  <c r="J110" i="4" s="1"/>
  <c r="L109" i="13"/>
  <c r="K109" i="13"/>
  <c r="J109" i="13"/>
  <c r="N109" i="13" s="1"/>
  <c r="L108" i="13"/>
  <c r="K108" i="13"/>
  <c r="J108" i="13"/>
  <c r="N108" i="13" s="1"/>
  <c r="M107" i="13"/>
  <c r="J108" i="4" s="1"/>
  <c r="L107" i="13"/>
  <c r="J107" i="13"/>
  <c r="N107" i="13" s="1"/>
  <c r="L106" i="13"/>
  <c r="M106" i="13" s="1"/>
  <c r="J107" i="4" s="1"/>
  <c r="K106" i="13"/>
  <c r="J106" i="13"/>
  <c r="N106" i="13" s="1"/>
  <c r="L105" i="13"/>
  <c r="M105" i="13" s="1"/>
  <c r="J106" i="4" s="1"/>
  <c r="K105" i="13"/>
  <c r="J105" i="13"/>
  <c r="N105" i="13" s="1"/>
  <c r="N104" i="13"/>
  <c r="L104" i="13"/>
  <c r="M104" i="13" s="1"/>
  <c r="J104" i="4" s="1"/>
  <c r="K104" i="13"/>
  <c r="J104" i="13"/>
  <c r="L103" i="13"/>
  <c r="M103" i="13" s="1"/>
  <c r="J103" i="4" s="1"/>
  <c r="K103" i="13"/>
  <c r="J103" i="13"/>
  <c r="N103" i="13" s="1"/>
  <c r="N102" i="13"/>
  <c r="L102" i="13"/>
  <c r="M102" i="13" s="1"/>
  <c r="J102" i="4" s="1"/>
  <c r="J102" i="13"/>
  <c r="L101" i="13"/>
  <c r="K101" i="13"/>
  <c r="M101" i="13" s="1"/>
  <c r="J101" i="4" s="1"/>
  <c r="M101" i="4" s="1"/>
  <c r="J101" i="13"/>
  <c r="N101" i="13" s="1"/>
  <c r="K101" i="4" s="1"/>
  <c r="M100" i="13"/>
  <c r="L100" i="13"/>
  <c r="K100" i="13"/>
  <c r="J100" i="13"/>
  <c r="N100" i="13" s="1"/>
  <c r="L99" i="13"/>
  <c r="K99" i="13"/>
  <c r="M99" i="13" s="1"/>
  <c r="J99" i="4" s="1"/>
  <c r="J99" i="13"/>
  <c r="N99" i="13" s="1"/>
  <c r="K99" i="4" s="1"/>
  <c r="M98" i="13"/>
  <c r="J98" i="4" s="1"/>
  <c r="J98" i="13"/>
  <c r="N98" i="13" s="1"/>
  <c r="M97" i="13"/>
  <c r="J97" i="4" s="1"/>
  <c r="L97" i="13"/>
  <c r="K97" i="13"/>
  <c r="J97" i="13"/>
  <c r="N97" i="13" s="1"/>
  <c r="O96" i="13"/>
  <c r="L96" i="13"/>
  <c r="M96" i="13" s="1"/>
  <c r="J96" i="4" s="1"/>
  <c r="J96" i="13"/>
  <c r="N96" i="13" s="1"/>
  <c r="K96" i="4" s="1"/>
  <c r="L96" i="4" s="1"/>
  <c r="L95" i="13"/>
  <c r="M95" i="13" s="1"/>
  <c r="J95" i="4" s="1"/>
  <c r="J95" i="13"/>
  <c r="N95" i="13" s="1"/>
  <c r="M94" i="13"/>
  <c r="J94" i="4" s="1"/>
  <c r="L94" i="13"/>
  <c r="J94" i="13"/>
  <c r="N94" i="13" s="1"/>
  <c r="N93" i="13"/>
  <c r="M93" i="13"/>
  <c r="L93" i="13"/>
  <c r="J93" i="13"/>
  <c r="O92" i="13"/>
  <c r="N92" i="13"/>
  <c r="K92" i="4" s="1"/>
  <c r="M92" i="13"/>
  <c r="J92" i="4" s="1"/>
  <c r="L92" i="4" s="1"/>
  <c r="J92" i="13"/>
  <c r="O91" i="13"/>
  <c r="L91" i="13"/>
  <c r="M91" i="13" s="1"/>
  <c r="J91" i="4" s="1"/>
  <c r="J91" i="13"/>
  <c r="N91" i="13" s="1"/>
  <c r="K91" i="4" s="1"/>
  <c r="M90" i="13"/>
  <c r="J90" i="4" s="1"/>
  <c r="J90" i="13"/>
  <c r="N90" i="13" s="1"/>
  <c r="M89" i="13"/>
  <c r="J89" i="13"/>
  <c r="N89" i="13" s="1"/>
  <c r="M88" i="13"/>
  <c r="J88" i="4" s="1"/>
  <c r="J88" i="13"/>
  <c r="N88" i="13" s="1"/>
  <c r="O88" i="13" s="1"/>
  <c r="L87" i="13"/>
  <c r="M87" i="13" s="1"/>
  <c r="J87" i="4" s="1"/>
  <c r="J87" i="13"/>
  <c r="N87" i="13" s="1"/>
  <c r="L86" i="13"/>
  <c r="M86" i="13" s="1"/>
  <c r="J86" i="4" s="1"/>
  <c r="K86" i="13"/>
  <c r="J86" i="13"/>
  <c r="N86" i="13" s="1"/>
  <c r="K86" i="4" s="1"/>
  <c r="N85" i="13"/>
  <c r="K85" i="4" s="1"/>
  <c r="M85" i="13"/>
  <c r="J85" i="4" s="1"/>
  <c r="L85" i="13"/>
  <c r="J85" i="13"/>
  <c r="O84" i="13"/>
  <c r="M84" i="13"/>
  <c r="J84" i="4" s="1"/>
  <c r="J84" i="13"/>
  <c r="N84" i="13" s="1"/>
  <c r="K84" i="4" s="1"/>
  <c r="M83" i="13"/>
  <c r="J83" i="4" s="1"/>
  <c r="J83" i="13"/>
  <c r="N83" i="13" s="1"/>
  <c r="K83" i="4" s="1"/>
  <c r="M82" i="13"/>
  <c r="J82" i="13"/>
  <c r="N82" i="13" s="1"/>
  <c r="K82" i="4" s="1"/>
  <c r="O81" i="13"/>
  <c r="M81" i="13"/>
  <c r="J81" i="4" s="1"/>
  <c r="J81" i="13"/>
  <c r="N81" i="13" s="1"/>
  <c r="K81" i="4" s="1"/>
  <c r="O80" i="13"/>
  <c r="M80" i="13"/>
  <c r="J80" i="4" s="1"/>
  <c r="J80" i="13"/>
  <c r="N80" i="13" s="1"/>
  <c r="K80" i="4" s="1"/>
  <c r="L79" i="13"/>
  <c r="M79" i="13" s="1"/>
  <c r="J79" i="4" s="1"/>
  <c r="J79" i="13"/>
  <c r="N79" i="13" s="1"/>
  <c r="K79" i="4" s="1"/>
  <c r="M78" i="13"/>
  <c r="J78" i="4" s="1"/>
  <c r="J78" i="13"/>
  <c r="N78" i="13" s="1"/>
  <c r="M77" i="13"/>
  <c r="J77" i="4" s="1"/>
  <c r="L77" i="13"/>
  <c r="K77" i="13"/>
  <c r="J77" i="13"/>
  <c r="N77" i="13" s="1"/>
  <c r="L76" i="13"/>
  <c r="M76" i="13" s="1"/>
  <c r="J76" i="4" s="1"/>
  <c r="K76" i="13"/>
  <c r="J76" i="13"/>
  <c r="N76" i="13" s="1"/>
  <c r="L75" i="13"/>
  <c r="M75" i="13" s="1"/>
  <c r="J75" i="4" s="1"/>
  <c r="J75" i="13"/>
  <c r="N75" i="13" s="1"/>
  <c r="N74" i="13"/>
  <c r="M74" i="13"/>
  <c r="J74" i="4" s="1"/>
  <c r="L74" i="13"/>
  <c r="J74" i="13"/>
  <c r="L73" i="13"/>
  <c r="K73" i="13"/>
  <c r="M73" i="13" s="1"/>
  <c r="J73" i="4" s="1"/>
  <c r="J73" i="13"/>
  <c r="N73" i="13" s="1"/>
  <c r="M72" i="13"/>
  <c r="J72" i="4" s="1"/>
  <c r="J72" i="13"/>
  <c r="N72" i="13" s="1"/>
  <c r="L71" i="13"/>
  <c r="M71" i="13" s="1"/>
  <c r="J71" i="4" s="1"/>
  <c r="J71" i="13"/>
  <c r="N71" i="13" s="1"/>
  <c r="M70" i="13"/>
  <c r="J70" i="4" s="1"/>
  <c r="J70" i="13"/>
  <c r="N70" i="13" s="1"/>
  <c r="M69" i="13"/>
  <c r="J69" i="4" s="1"/>
  <c r="J69" i="13"/>
  <c r="N69" i="13" s="1"/>
  <c r="M68" i="13"/>
  <c r="J68" i="4" s="1"/>
  <c r="L68" i="13"/>
  <c r="K68" i="13"/>
  <c r="J68" i="13"/>
  <c r="N68" i="13" s="1"/>
  <c r="M67" i="13"/>
  <c r="J67" i="4" s="1"/>
  <c r="L67" i="13"/>
  <c r="J67" i="13"/>
  <c r="N67" i="13" s="1"/>
  <c r="N66" i="13"/>
  <c r="K66" i="4" s="1"/>
  <c r="L66" i="13"/>
  <c r="M66" i="13" s="1"/>
  <c r="J66" i="4" s="1"/>
  <c r="J66" i="13"/>
  <c r="M65" i="13"/>
  <c r="J65" i="4" s="1"/>
  <c r="L65" i="13"/>
  <c r="K65" i="13"/>
  <c r="J65" i="13"/>
  <c r="N65" i="13" s="1"/>
  <c r="M64" i="13"/>
  <c r="J64" i="4" s="1"/>
  <c r="L64" i="13"/>
  <c r="J64" i="13"/>
  <c r="N64" i="13" s="1"/>
  <c r="L63" i="13"/>
  <c r="M63" i="13" s="1"/>
  <c r="J63" i="4" s="1"/>
  <c r="K63" i="13"/>
  <c r="J63" i="13"/>
  <c r="N63" i="13" s="1"/>
  <c r="L62" i="13"/>
  <c r="M62" i="13" s="1"/>
  <c r="J62" i="4" s="1"/>
  <c r="K62" i="13"/>
  <c r="J62" i="13"/>
  <c r="N62" i="13" s="1"/>
  <c r="L61" i="13"/>
  <c r="M61" i="13" s="1"/>
  <c r="J61" i="4" s="1"/>
  <c r="K61" i="13"/>
  <c r="J61" i="13"/>
  <c r="N61" i="13" s="1"/>
  <c r="N60" i="13"/>
  <c r="K60" i="4" s="1"/>
  <c r="L60" i="13"/>
  <c r="M60" i="13" s="1"/>
  <c r="J60" i="4" s="1"/>
  <c r="M60" i="4" s="1"/>
  <c r="J60" i="13"/>
  <c r="L59" i="13"/>
  <c r="K59" i="13"/>
  <c r="M59" i="13" s="1"/>
  <c r="J59" i="4" s="1"/>
  <c r="J59" i="13"/>
  <c r="N59" i="13" s="1"/>
  <c r="M58" i="13"/>
  <c r="J58" i="4" s="1"/>
  <c r="L58" i="13"/>
  <c r="K58" i="13"/>
  <c r="J58" i="13"/>
  <c r="N58" i="13" s="1"/>
  <c r="O57" i="13"/>
  <c r="N57" i="13"/>
  <c r="K57" i="4" s="1"/>
  <c r="M57" i="13"/>
  <c r="J57" i="4" s="1"/>
  <c r="J57" i="13"/>
  <c r="L56" i="13"/>
  <c r="K56" i="13"/>
  <c r="M56" i="13" s="1"/>
  <c r="J56" i="4" s="1"/>
  <c r="J56" i="13"/>
  <c r="N56" i="13" s="1"/>
  <c r="M55" i="13"/>
  <c r="J55" i="4" s="1"/>
  <c r="L55" i="13"/>
  <c r="K55" i="13"/>
  <c r="J55" i="13"/>
  <c r="N55" i="13" s="1"/>
  <c r="L54" i="13"/>
  <c r="K54" i="13"/>
  <c r="M54" i="13" s="1"/>
  <c r="J54" i="4" s="1"/>
  <c r="J54" i="13"/>
  <c r="N54" i="13" s="1"/>
  <c r="M53" i="13"/>
  <c r="J53" i="4" s="1"/>
  <c r="L53" i="13"/>
  <c r="K53" i="13"/>
  <c r="J53" i="13"/>
  <c r="N53" i="13" s="1"/>
  <c r="M52" i="13"/>
  <c r="J52" i="4" s="1"/>
  <c r="L52" i="13"/>
  <c r="J52" i="13"/>
  <c r="N52" i="13" s="1"/>
  <c r="L51" i="13"/>
  <c r="M51" i="13" s="1"/>
  <c r="J51" i="4" s="1"/>
  <c r="K51" i="13"/>
  <c r="J51" i="13"/>
  <c r="N51" i="13" s="1"/>
  <c r="L50" i="13"/>
  <c r="M50" i="13" s="1"/>
  <c r="J50" i="4" s="1"/>
  <c r="K50" i="13"/>
  <c r="J50" i="13"/>
  <c r="N50" i="13" s="1"/>
  <c r="M49" i="13"/>
  <c r="J49" i="4" s="1"/>
  <c r="J49" i="13"/>
  <c r="N49" i="13" s="1"/>
  <c r="L48" i="13"/>
  <c r="M48" i="13" s="1"/>
  <c r="J48" i="4" s="1"/>
  <c r="K48" i="13"/>
  <c r="J48" i="13"/>
  <c r="N48" i="13" s="1"/>
  <c r="L47" i="13"/>
  <c r="M47" i="13" s="1"/>
  <c r="J47" i="4" s="1"/>
  <c r="K47" i="13"/>
  <c r="J47" i="13"/>
  <c r="N47" i="13" s="1"/>
  <c r="L46" i="13"/>
  <c r="M46" i="13" s="1"/>
  <c r="J46" i="4" s="1"/>
  <c r="K46" i="13"/>
  <c r="J46" i="13"/>
  <c r="N46" i="13" s="1"/>
  <c r="L45" i="13"/>
  <c r="M45" i="13" s="1"/>
  <c r="J45" i="4" s="1"/>
  <c r="K45" i="13"/>
  <c r="J45" i="13"/>
  <c r="N45" i="13" s="1"/>
  <c r="L44" i="13"/>
  <c r="M44" i="13" s="1"/>
  <c r="J44" i="4" s="1"/>
  <c r="K44" i="13"/>
  <c r="J44" i="13"/>
  <c r="N44" i="13" s="1"/>
  <c r="L43" i="13"/>
  <c r="M43" i="13" s="1"/>
  <c r="J43" i="4" s="1"/>
  <c r="K43" i="13"/>
  <c r="J43" i="13"/>
  <c r="N43" i="13" s="1"/>
  <c r="L42" i="13"/>
  <c r="M42" i="13" s="1"/>
  <c r="J42" i="4" s="1"/>
  <c r="K42" i="13"/>
  <c r="J42" i="13"/>
  <c r="N42" i="13" s="1"/>
  <c r="N41" i="13"/>
  <c r="K41" i="4" s="1"/>
  <c r="M41" i="13"/>
  <c r="J41" i="4" s="1"/>
  <c r="L41" i="13"/>
  <c r="J41" i="13"/>
  <c r="O40" i="13"/>
  <c r="N40" i="13"/>
  <c r="K40" i="4" s="1"/>
  <c r="M40" i="13"/>
  <c r="J40" i="4" s="1"/>
  <c r="M40" i="4" s="1"/>
  <c r="J40" i="13"/>
  <c r="L39" i="13"/>
  <c r="M39" i="13" s="1"/>
  <c r="J39" i="4" s="1"/>
  <c r="J39" i="13"/>
  <c r="N39" i="13" s="1"/>
  <c r="L38" i="13"/>
  <c r="M38" i="13" s="1"/>
  <c r="J38" i="4" s="1"/>
  <c r="J38" i="13"/>
  <c r="N38" i="13" s="1"/>
  <c r="M37" i="13"/>
  <c r="J37" i="4" s="1"/>
  <c r="L37" i="13"/>
  <c r="K37" i="13"/>
  <c r="J37" i="13"/>
  <c r="N37" i="13" s="1"/>
  <c r="O36" i="13"/>
  <c r="N36" i="13"/>
  <c r="K36" i="4" s="1"/>
  <c r="M36" i="13"/>
  <c r="J36" i="4" s="1"/>
  <c r="J36" i="13"/>
  <c r="L35" i="13"/>
  <c r="M35" i="13" s="1"/>
  <c r="J35" i="4" s="1"/>
  <c r="K35" i="13"/>
  <c r="J35" i="13"/>
  <c r="N35" i="13" s="1"/>
  <c r="M34" i="13"/>
  <c r="J34" i="4" s="1"/>
  <c r="L34" i="13"/>
  <c r="K34" i="13"/>
  <c r="J34" i="13"/>
  <c r="N34" i="13" s="1"/>
  <c r="L33" i="13"/>
  <c r="M33" i="13" s="1"/>
  <c r="J33" i="4" s="1"/>
  <c r="K33" i="13"/>
  <c r="J33" i="13"/>
  <c r="N33" i="13" s="1"/>
  <c r="M32" i="13"/>
  <c r="J32" i="4" s="1"/>
  <c r="L32" i="13"/>
  <c r="K32" i="13"/>
  <c r="J32" i="13"/>
  <c r="N32" i="13" s="1"/>
  <c r="O31" i="13"/>
  <c r="N31" i="13"/>
  <c r="K31" i="4" s="1"/>
  <c r="M31" i="13"/>
  <c r="J31" i="4" s="1"/>
  <c r="J31" i="13"/>
  <c r="L30" i="13"/>
  <c r="K30" i="13"/>
  <c r="M30" i="13" s="1"/>
  <c r="J30" i="4" s="1"/>
  <c r="J30" i="13"/>
  <c r="N30" i="13" s="1"/>
  <c r="M29" i="13"/>
  <c r="J29" i="4" s="1"/>
  <c r="J29" i="13"/>
  <c r="N29" i="13" s="1"/>
  <c r="M28" i="13"/>
  <c r="J28" i="4" s="1"/>
  <c r="L28" i="13"/>
  <c r="J28" i="13"/>
  <c r="N28" i="13" s="1"/>
  <c r="M27" i="13"/>
  <c r="J27" i="4" s="1"/>
  <c r="L27" i="13"/>
  <c r="K27" i="13"/>
  <c r="J27" i="13"/>
  <c r="N27" i="13" s="1"/>
  <c r="L26" i="13"/>
  <c r="M26" i="13" s="1"/>
  <c r="J26" i="4" s="1"/>
  <c r="K26" i="13"/>
  <c r="J26" i="13"/>
  <c r="N26" i="13" s="1"/>
  <c r="M25" i="13"/>
  <c r="J25" i="4" s="1"/>
  <c r="L25" i="13"/>
  <c r="K25" i="13"/>
  <c r="J25" i="13"/>
  <c r="N25" i="13" s="1"/>
  <c r="L24" i="13"/>
  <c r="M24" i="13" s="1"/>
  <c r="J24" i="4" s="1"/>
  <c r="J24" i="13"/>
  <c r="N24" i="13" s="1"/>
  <c r="M23" i="13"/>
  <c r="J23" i="4" s="1"/>
  <c r="L23" i="13"/>
  <c r="K23" i="13"/>
  <c r="J23" i="13"/>
  <c r="N23" i="13" s="1"/>
  <c r="L22" i="13"/>
  <c r="M22" i="13" s="1"/>
  <c r="J22" i="4" s="1"/>
  <c r="K22" i="13"/>
  <c r="J22" i="13"/>
  <c r="N22" i="13" s="1"/>
  <c r="M21" i="13"/>
  <c r="J21" i="4" s="1"/>
  <c r="L21" i="13"/>
  <c r="K21" i="13"/>
  <c r="J21" i="13"/>
  <c r="N21" i="13" s="1"/>
  <c r="L20" i="13"/>
  <c r="M20" i="13" s="1"/>
  <c r="J20" i="4" s="1"/>
  <c r="J20" i="13"/>
  <c r="N20" i="13" s="1"/>
  <c r="L19" i="13"/>
  <c r="M19" i="13" s="1"/>
  <c r="J19" i="4" s="1"/>
  <c r="K19" i="13"/>
  <c r="J19" i="13"/>
  <c r="N19" i="13" s="1"/>
  <c r="L18" i="13"/>
  <c r="M18" i="13" s="1"/>
  <c r="J18" i="4" s="1"/>
  <c r="K18" i="13"/>
  <c r="J18" i="13"/>
  <c r="N18" i="13" s="1"/>
  <c r="L17" i="13"/>
  <c r="M17" i="13" s="1"/>
  <c r="J17" i="4" s="1"/>
  <c r="K17" i="13"/>
  <c r="J17" i="13"/>
  <c r="N17" i="13" s="1"/>
  <c r="N16" i="13"/>
  <c r="K16" i="4" s="1"/>
  <c r="L16" i="4" s="1"/>
  <c r="M16" i="13"/>
  <c r="J16" i="13"/>
  <c r="N15" i="13"/>
  <c r="K15" i="4" s="1"/>
  <c r="L15" i="4" s="1"/>
  <c r="M15" i="13"/>
  <c r="J15" i="4" s="1"/>
  <c r="J15" i="13"/>
  <c r="N14" i="13"/>
  <c r="K14" i="4" s="1"/>
  <c r="L14" i="13"/>
  <c r="M14" i="13" s="1"/>
  <c r="J14" i="4" s="1"/>
  <c r="M14" i="4" s="1"/>
  <c r="J14" i="13"/>
  <c r="M13" i="13"/>
  <c r="J13" i="4" s="1"/>
  <c r="J13" i="13"/>
  <c r="N13" i="13" s="1"/>
  <c r="M12" i="13"/>
  <c r="J12" i="4" s="1"/>
  <c r="J12" i="13"/>
  <c r="N12" i="13" s="1"/>
  <c r="L11" i="13"/>
  <c r="K11" i="13"/>
  <c r="M11" i="13" s="1"/>
  <c r="J11" i="4" s="1"/>
  <c r="J11" i="13"/>
  <c r="N11" i="13" s="1"/>
  <c r="M10" i="13"/>
  <c r="J10" i="4" s="1"/>
  <c r="L10" i="13"/>
  <c r="K10" i="13"/>
  <c r="J10" i="13"/>
  <c r="N10" i="13" s="1"/>
  <c r="O10" i="13" s="1"/>
  <c r="L9" i="13"/>
  <c r="K9" i="13"/>
  <c r="M9" i="13" s="1"/>
  <c r="J9" i="4" s="1"/>
  <c r="J9" i="13"/>
  <c r="N9" i="13" s="1"/>
  <c r="M8" i="13"/>
  <c r="J8" i="4" s="1"/>
  <c r="L8" i="13"/>
  <c r="K8" i="13"/>
  <c r="J8" i="13"/>
  <c r="N8" i="13" s="1"/>
  <c r="L7" i="13"/>
  <c r="K7" i="13"/>
  <c r="M7" i="13" s="1"/>
  <c r="J7" i="4" s="1"/>
  <c r="J7" i="13"/>
  <c r="N7" i="13" s="1"/>
  <c r="M6" i="13"/>
  <c r="J6" i="4" s="1"/>
  <c r="L6" i="13"/>
  <c r="J6" i="13"/>
  <c r="N6" i="13" s="1"/>
  <c r="L5" i="13"/>
  <c r="M5" i="13" s="1"/>
  <c r="J5" i="4" s="1"/>
  <c r="K5" i="13"/>
  <c r="J5" i="13"/>
  <c r="N5" i="13" s="1"/>
  <c r="L4" i="13"/>
  <c r="D4" i="6" s="1"/>
  <c r="D19" i="6" s="1"/>
  <c r="K4" i="13"/>
  <c r="J4" i="13"/>
  <c r="N4" i="13" s="1"/>
  <c r="S180" i="1"/>
  <c r="S179" i="1"/>
  <c r="I179" i="1"/>
  <c r="H179" i="1"/>
  <c r="J179" i="1" s="1"/>
  <c r="M179" i="1" s="1"/>
  <c r="S178" i="1"/>
  <c r="I178" i="1"/>
  <c r="H178" i="1"/>
  <c r="J178" i="1" s="1"/>
  <c r="M178" i="1" s="1"/>
  <c r="S177" i="1"/>
  <c r="J177" i="1"/>
  <c r="M177" i="1" s="1"/>
  <c r="I177" i="1"/>
  <c r="H177" i="1"/>
  <c r="S176" i="1"/>
  <c r="I176" i="1"/>
  <c r="H176" i="1"/>
  <c r="J176" i="1" s="1"/>
  <c r="M176" i="1" s="1"/>
  <c r="S175" i="1"/>
  <c r="N175" i="1"/>
  <c r="K175" i="1"/>
  <c r="J175" i="1"/>
  <c r="M175" i="1" s="1"/>
  <c r="I175" i="1"/>
  <c r="H175" i="1"/>
  <c r="S174" i="1"/>
  <c r="S173" i="1"/>
  <c r="I173" i="1"/>
  <c r="H173" i="1"/>
  <c r="J173" i="1" s="1"/>
  <c r="M173" i="1" s="1"/>
  <c r="S172" i="1"/>
  <c r="I172" i="1"/>
  <c r="J172" i="1" s="1"/>
  <c r="M172" i="1" s="1"/>
  <c r="H172" i="1"/>
  <c r="S171" i="1"/>
  <c r="N171" i="1"/>
  <c r="M171" i="1"/>
  <c r="K171" i="1"/>
  <c r="J171" i="1"/>
  <c r="I171" i="1"/>
  <c r="H171" i="1"/>
  <c r="S170" i="1"/>
  <c r="S169" i="1"/>
  <c r="J169" i="1"/>
  <c r="M169" i="1" s="1"/>
  <c r="I169" i="1"/>
  <c r="H169" i="1"/>
  <c r="S168" i="1"/>
  <c r="I168" i="1"/>
  <c r="J168" i="1" s="1"/>
  <c r="M168" i="1" s="1"/>
  <c r="H168" i="1"/>
  <c r="S167" i="1"/>
  <c r="I167" i="1"/>
  <c r="H167" i="1"/>
  <c r="J167" i="1" s="1"/>
  <c r="M167" i="1" s="1"/>
  <c r="S166" i="1"/>
  <c r="K166" i="1"/>
  <c r="J166" i="1"/>
  <c r="M166" i="1" s="1"/>
  <c r="I166" i="1"/>
  <c r="H166" i="1"/>
  <c r="S165" i="1"/>
  <c r="N165" i="1"/>
  <c r="N166" i="1" s="1"/>
  <c r="S164" i="1"/>
  <c r="N164" i="1"/>
  <c r="J164" i="1"/>
  <c r="M164" i="1" s="1"/>
  <c r="I164" i="1"/>
  <c r="H164" i="1"/>
  <c r="S163" i="1"/>
  <c r="I163" i="1"/>
  <c r="H163" i="1"/>
  <c r="S162" i="1"/>
  <c r="J162" i="1"/>
  <c r="M162" i="1" s="1"/>
  <c r="I162" i="1"/>
  <c r="H162" i="1"/>
  <c r="S161" i="1"/>
  <c r="N161" i="1"/>
  <c r="K161" i="1"/>
  <c r="J161" i="1"/>
  <c r="M161" i="1" s="1"/>
  <c r="I161" i="1"/>
  <c r="H161" i="1"/>
  <c r="S160" i="1"/>
  <c r="S159" i="1"/>
  <c r="I159" i="1"/>
  <c r="H159" i="1"/>
  <c r="J159" i="1" s="1"/>
  <c r="M159" i="1" s="1"/>
  <c r="S158" i="1"/>
  <c r="I158" i="1"/>
  <c r="H158" i="1"/>
  <c r="J158" i="1" s="1"/>
  <c r="M158" i="1" s="1"/>
  <c r="S157" i="1"/>
  <c r="I157" i="1"/>
  <c r="J157" i="1" s="1"/>
  <c r="M157" i="1" s="1"/>
  <c r="H157" i="1"/>
  <c r="S156" i="1"/>
  <c r="J156" i="1"/>
  <c r="M156" i="1" s="1"/>
  <c r="I156" i="1"/>
  <c r="H156" i="1"/>
  <c r="S155" i="1"/>
  <c r="N155" i="1"/>
  <c r="K155" i="1"/>
  <c r="J155" i="1"/>
  <c r="M155" i="1" s="1"/>
  <c r="I155" i="1"/>
  <c r="H155" i="1"/>
  <c r="S154" i="1"/>
  <c r="S153" i="1"/>
  <c r="S152" i="1"/>
  <c r="I152" i="1"/>
  <c r="H152" i="1"/>
  <c r="J152" i="1" s="1"/>
  <c r="M152" i="1" s="1"/>
  <c r="S151" i="1"/>
  <c r="I151" i="1"/>
  <c r="J151" i="1" s="1"/>
  <c r="M151" i="1" s="1"/>
  <c r="H151" i="1"/>
  <c r="S150" i="1"/>
  <c r="J150" i="1"/>
  <c r="M150" i="1" s="1"/>
  <c r="I150" i="1"/>
  <c r="H150" i="1"/>
  <c r="S149" i="1"/>
  <c r="I149" i="1"/>
  <c r="H149" i="1"/>
  <c r="J149" i="1" s="1"/>
  <c r="M149" i="1" s="1"/>
  <c r="S148" i="1"/>
  <c r="I148" i="1"/>
  <c r="H148" i="1"/>
  <c r="J148" i="1" s="1"/>
  <c r="M148" i="1" s="1"/>
  <c r="S147" i="1"/>
  <c r="I147" i="1"/>
  <c r="H147" i="1"/>
  <c r="J147" i="1" s="1"/>
  <c r="M147" i="1" s="1"/>
  <c r="S146" i="1"/>
  <c r="J146" i="1"/>
  <c r="M146" i="1" s="1"/>
  <c r="I146" i="1"/>
  <c r="H146" i="1"/>
  <c r="S145" i="1"/>
  <c r="I145" i="1"/>
  <c r="H145" i="1"/>
  <c r="J145" i="1" s="1"/>
  <c r="M145" i="1" s="1"/>
  <c r="S144" i="1"/>
  <c r="I144" i="1"/>
  <c r="H144" i="1"/>
  <c r="J144" i="1" s="1"/>
  <c r="M144" i="1" s="1"/>
  <c r="S143" i="1"/>
  <c r="I143" i="1"/>
  <c r="H143" i="1"/>
  <c r="J143" i="1" s="1"/>
  <c r="M143" i="1" s="1"/>
  <c r="S142" i="1"/>
  <c r="J142" i="1"/>
  <c r="M142" i="1" s="1"/>
  <c r="I142" i="1"/>
  <c r="H142" i="1"/>
  <c r="S141" i="1"/>
  <c r="I141" i="1"/>
  <c r="H141" i="1"/>
  <c r="J141" i="1" s="1"/>
  <c r="M141" i="1" s="1"/>
  <c r="S140" i="1"/>
  <c r="I140" i="1"/>
  <c r="H140" i="1"/>
  <c r="J140" i="1" s="1"/>
  <c r="M140" i="1" s="1"/>
  <c r="S139" i="1"/>
  <c r="I139" i="1"/>
  <c r="H139" i="1"/>
  <c r="J139" i="1" s="1"/>
  <c r="M139" i="1" s="1"/>
  <c r="S138" i="1"/>
  <c r="N138" i="1"/>
  <c r="K138" i="1"/>
  <c r="J138" i="1"/>
  <c r="M138" i="1" s="1"/>
  <c r="I138" i="1"/>
  <c r="H138" i="1"/>
  <c r="S137" i="1"/>
  <c r="S136" i="1"/>
  <c r="J136" i="1"/>
  <c r="M136" i="1" s="1"/>
  <c r="I136" i="1"/>
  <c r="H136" i="1"/>
  <c r="S135" i="1"/>
  <c r="I135" i="1"/>
  <c r="H135" i="1"/>
  <c r="J135" i="1" s="1"/>
  <c r="M135" i="1" s="1"/>
  <c r="S134" i="1"/>
  <c r="I134" i="1"/>
  <c r="H134" i="1"/>
  <c r="J134" i="1" s="1"/>
  <c r="M134" i="1" s="1"/>
  <c r="S133" i="1"/>
  <c r="I133" i="1"/>
  <c r="H133" i="1"/>
  <c r="J133" i="1" s="1"/>
  <c r="M133" i="1" s="1"/>
  <c r="S132" i="1"/>
  <c r="J132" i="1"/>
  <c r="M132" i="1" s="1"/>
  <c r="I132" i="1"/>
  <c r="H132" i="1"/>
  <c r="S131" i="1"/>
  <c r="N131" i="1"/>
  <c r="K131" i="1"/>
  <c r="J131" i="1"/>
  <c r="M131" i="1" s="1"/>
  <c r="I131" i="1"/>
  <c r="H131" i="1"/>
  <c r="S130" i="1"/>
  <c r="S129" i="1"/>
  <c r="S128" i="1"/>
  <c r="I128" i="1"/>
  <c r="H128" i="1"/>
  <c r="J128" i="1" s="1"/>
  <c r="M128" i="1" s="1"/>
  <c r="S127" i="1"/>
  <c r="I127" i="1"/>
  <c r="H127" i="1"/>
  <c r="J127" i="1" s="1"/>
  <c r="M127" i="1" s="1"/>
  <c r="S126" i="1"/>
  <c r="N126" i="1"/>
  <c r="M126" i="1"/>
  <c r="K126" i="1"/>
  <c r="J126" i="1"/>
  <c r="I126" i="1"/>
  <c r="H126" i="1"/>
  <c r="S125" i="1"/>
  <c r="S124" i="1"/>
  <c r="S123" i="1"/>
  <c r="I123" i="1"/>
  <c r="H123" i="1"/>
  <c r="J123" i="1" s="1"/>
  <c r="M123" i="1" s="1"/>
  <c r="S122" i="1"/>
  <c r="I122" i="1"/>
  <c r="H122" i="1"/>
  <c r="J122" i="1" s="1"/>
  <c r="M122" i="1" s="1"/>
  <c r="S121" i="1"/>
  <c r="I121" i="1"/>
  <c r="H121" i="1"/>
  <c r="J121" i="1" s="1"/>
  <c r="M121" i="1" s="1"/>
  <c r="S120" i="1"/>
  <c r="J120" i="1"/>
  <c r="M120" i="1" s="1"/>
  <c r="I120" i="1"/>
  <c r="H120" i="1"/>
  <c r="S119" i="1"/>
  <c r="I119" i="1"/>
  <c r="H119" i="1"/>
  <c r="J119" i="1" s="1"/>
  <c r="M119" i="1" s="1"/>
  <c r="S118" i="1"/>
  <c r="I118" i="1"/>
  <c r="H118" i="1"/>
  <c r="J118" i="1" s="1"/>
  <c r="M118" i="1" s="1"/>
  <c r="S117" i="1"/>
  <c r="I117" i="1"/>
  <c r="H117" i="1"/>
  <c r="J117" i="1" s="1"/>
  <c r="M117" i="1" s="1"/>
  <c r="S116" i="1"/>
  <c r="J116" i="1"/>
  <c r="M116" i="1" s="1"/>
  <c r="I116" i="1"/>
  <c r="H116" i="1"/>
  <c r="S115" i="1"/>
  <c r="I115" i="1"/>
  <c r="H115" i="1"/>
  <c r="J115" i="1" s="1"/>
  <c r="M115" i="1" s="1"/>
  <c r="S114" i="1"/>
  <c r="I114" i="1"/>
  <c r="H114" i="1"/>
  <c r="J114" i="1" s="1"/>
  <c r="M114" i="1" s="1"/>
  <c r="S113" i="1"/>
  <c r="N113" i="1"/>
  <c r="K113" i="1"/>
  <c r="J113" i="1"/>
  <c r="M113" i="1" s="1"/>
  <c r="I113" i="1"/>
  <c r="H113" i="1"/>
  <c r="S112" i="1"/>
  <c r="S111" i="1"/>
  <c r="S110" i="1"/>
  <c r="J110" i="1"/>
  <c r="M110" i="1" s="1"/>
  <c r="I110" i="1"/>
  <c r="H110" i="1"/>
  <c r="S109" i="1"/>
  <c r="I109" i="1"/>
  <c r="H109" i="1"/>
  <c r="J109" i="1" s="1"/>
  <c r="M109" i="1" s="1"/>
  <c r="S108" i="1"/>
  <c r="I108" i="1"/>
  <c r="H108" i="1"/>
  <c r="J108" i="1" s="1"/>
  <c r="M108" i="1" s="1"/>
  <c r="S107" i="1"/>
  <c r="I107" i="1"/>
  <c r="H107" i="1"/>
  <c r="J107" i="1" s="1"/>
  <c r="M107" i="1" s="1"/>
  <c r="S106" i="1"/>
  <c r="J106" i="1"/>
  <c r="M106" i="1" s="1"/>
  <c r="I106" i="1"/>
  <c r="H106" i="1"/>
  <c r="S105" i="1"/>
  <c r="M105" i="1"/>
  <c r="I105" i="1"/>
  <c r="H105" i="1"/>
  <c r="S104" i="1"/>
  <c r="N104" i="1"/>
  <c r="K104" i="1"/>
  <c r="M104" i="1" s="1"/>
  <c r="J104" i="1"/>
  <c r="I104" i="1"/>
  <c r="H104" i="1"/>
  <c r="S103" i="1"/>
  <c r="S102" i="1"/>
  <c r="I102" i="1"/>
  <c r="H102" i="1"/>
  <c r="J102" i="1" s="1"/>
  <c r="M102" i="1" s="1"/>
  <c r="S101" i="1"/>
  <c r="N101" i="1"/>
  <c r="K101" i="1"/>
  <c r="J101" i="1"/>
  <c r="M101" i="1" s="1"/>
  <c r="I101" i="1"/>
  <c r="H101" i="1"/>
  <c r="S100" i="1"/>
  <c r="S99" i="1"/>
  <c r="S98" i="1"/>
  <c r="I98" i="1"/>
  <c r="H98" i="1"/>
  <c r="J98" i="1" s="1"/>
  <c r="M98" i="1" s="1"/>
  <c r="S97" i="1"/>
  <c r="J97" i="1"/>
  <c r="M97" i="1" s="1"/>
  <c r="I97" i="1"/>
  <c r="H97" i="1"/>
  <c r="S96" i="1"/>
  <c r="I96" i="1"/>
  <c r="H96" i="1"/>
  <c r="J96" i="1" s="1"/>
  <c r="M96" i="1" s="1"/>
  <c r="S95" i="1"/>
  <c r="I95" i="1"/>
  <c r="H95" i="1"/>
  <c r="J95" i="1" s="1"/>
  <c r="M95" i="1" s="1"/>
  <c r="S94" i="1"/>
  <c r="I94" i="1"/>
  <c r="H94" i="1"/>
  <c r="S93" i="1"/>
  <c r="J93" i="1"/>
  <c r="M93" i="1" s="1"/>
  <c r="I93" i="1"/>
  <c r="H93" i="1"/>
  <c r="S92" i="1"/>
  <c r="M92" i="1"/>
  <c r="I92" i="1"/>
  <c r="H92" i="1"/>
  <c r="J92" i="1" s="1"/>
  <c r="S91" i="1"/>
  <c r="I91" i="1"/>
  <c r="H91" i="1"/>
  <c r="J91" i="1" s="1"/>
  <c r="M91" i="1" s="1"/>
  <c r="S90" i="1"/>
  <c r="N90" i="1"/>
  <c r="K90" i="1"/>
  <c r="I90" i="1"/>
  <c r="H90" i="1"/>
  <c r="S89" i="1"/>
  <c r="S88" i="1"/>
  <c r="I88" i="1"/>
  <c r="H88" i="1"/>
  <c r="S87" i="1"/>
  <c r="J87" i="1"/>
  <c r="M87" i="1" s="1"/>
  <c r="I87" i="1"/>
  <c r="H87" i="1"/>
  <c r="S86" i="1"/>
  <c r="M86" i="1"/>
  <c r="I86" i="1"/>
  <c r="J86" i="1" s="1"/>
  <c r="H86" i="1"/>
  <c r="S85" i="1"/>
  <c r="I85" i="1"/>
  <c r="H85" i="1"/>
  <c r="J85" i="1" s="1"/>
  <c r="M85" i="1" s="1"/>
  <c r="S84" i="1"/>
  <c r="I84" i="1"/>
  <c r="H84" i="1"/>
  <c r="J84" i="1" s="1"/>
  <c r="M84" i="1" s="1"/>
  <c r="S83" i="1"/>
  <c r="J83" i="1"/>
  <c r="M83" i="1" s="1"/>
  <c r="I83" i="1"/>
  <c r="H83" i="1"/>
  <c r="S82" i="1"/>
  <c r="I82" i="1"/>
  <c r="H82" i="1"/>
  <c r="J82" i="1" s="1"/>
  <c r="M82" i="1" s="1"/>
  <c r="S81" i="1"/>
  <c r="I81" i="1"/>
  <c r="H81" i="1"/>
  <c r="J81" i="1" s="1"/>
  <c r="M81" i="1" s="1"/>
  <c r="S80" i="1"/>
  <c r="I80" i="1"/>
  <c r="H80" i="1"/>
  <c r="S79" i="1"/>
  <c r="J79" i="1"/>
  <c r="M79" i="1" s="1"/>
  <c r="I79" i="1"/>
  <c r="H79" i="1"/>
  <c r="S78" i="1"/>
  <c r="M78" i="1"/>
  <c r="I78" i="1"/>
  <c r="H78" i="1"/>
  <c r="J78" i="1" s="1"/>
  <c r="S77" i="1"/>
  <c r="I77" i="1"/>
  <c r="H77" i="1"/>
  <c r="J77" i="1" s="1"/>
  <c r="M77" i="1" s="1"/>
  <c r="S76" i="1"/>
  <c r="I76" i="1"/>
  <c r="H76" i="1"/>
  <c r="J76" i="1" s="1"/>
  <c r="M76" i="1" s="1"/>
  <c r="S75" i="1"/>
  <c r="J75" i="1"/>
  <c r="M75" i="1" s="1"/>
  <c r="I75" i="1"/>
  <c r="H75" i="1"/>
  <c r="S74" i="1"/>
  <c r="I74" i="1"/>
  <c r="H74" i="1"/>
  <c r="J74" i="1" s="1"/>
  <c r="M74" i="1" s="1"/>
  <c r="S73" i="1"/>
  <c r="I73" i="1"/>
  <c r="H73" i="1"/>
  <c r="J73" i="1" s="1"/>
  <c r="M73" i="1" s="1"/>
  <c r="S72" i="1"/>
  <c r="I72" i="1"/>
  <c r="H72" i="1"/>
  <c r="S71" i="1"/>
  <c r="J71" i="1"/>
  <c r="M71" i="1" s="1"/>
  <c r="I71" i="1"/>
  <c r="H71" i="1"/>
  <c r="S70" i="1"/>
  <c r="M70" i="1"/>
  <c r="I70" i="1"/>
  <c r="H70" i="1"/>
  <c r="J70" i="1" s="1"/>
  <c r="S69" i="1"/>
  <c r="N69" i="1"/>
  <c r="K69" i="1"/>
  <c r="J69" i="1"/>
  <c r="M69" i="1" s="1"/>
  <c r="I69" i="1"/>
  <c r="H69" i="1"/>
  <c r="S68" i="1"/>
  <c r="S67" i="1"/>
  <c r="I67" i="1"/>
  <c r="H67" i="1"/>
  <c r="J67" i="1" s="1"/>
  <c r="M67" i="1" s="1"/>
  <c r="S66" i="1"/>
  <c r="I66" i="1"/>
  <c r="H66" i="1"/>
  <c r="J66" i="1" s="1"/>
  <c r="M66" i="1" s="1"/>
  <c r="S65" i="1"/>
  <c r="J65" i="1"/>
  <c r="M65" i="1" s="1"/>
  <c r="I65" i="1"/>
  <c r="H65" i="1"/>
  <c r="S64" i="1"/>
  <c r="M64" i="1"/>
  <c r="I64" i="1"/>
  <c r="H64" i="1"/>
  <c r="J64" i="1" s="1"/>
  <c r="S63" i="1"/>
  <c r="I63" i="1"/>
  <c r="H63" i="1"/>
  <c r="J63" i="1" s="1"/>
  <c r="M63" i="1" s="1"/>
  <c r="S62" i="1"/>
  <c r="I62" i="1"/>
  <c r="H62" i="1"/>
  <c r="S61" i="1"/>
  <c r="J61" i="1"/>
  <c r="M61" i="1" s="1"/>
  <c r="I61" i="1"/>
  <c r="H61" i="1"/>
  <c r="S60" i="1"/>
  <c r="I60" i="1"/>
  <c r="H60" i="1"/>
  <c r="J60" i="1" s="1"/>
  <c r="M60" i="1" s="1"/>
  <c r="S59" i="1"/>
  <c r="I59" i="1"/>
  <c r="H59" i="1"/>
  <c r="J59" i="1" s="1"/>
  <c r="M59" i="1" s="1"/>
  <c r="S58" i="1"/>
  <c r="N58" i="1"/>
  <c r="K58" i="1"/>
  <c r="J58" i="1"/>
  <c r="M58" i="1" s="1"/>
  <c r="I58" i="1"/>
  <c r="H58" i="1"/>
  <c r="S57" i="1"/>
  <c r="S56" i="1"/>
  <c r="I56" i="1"/>
  <c r="H56" i="1"/>
  <c r="S55" i="1"/>
  <c r="J55" i="1"/>
  <c r="M55" i="1" s="1"/>
  <c r="I55" i="1"/>
  <c r="H55" i="1"/>
  <c r="S54" i="1"/>
  <c r="M54" i="1"/>
  <c r="I54" i="1"/>
  <c r="J54" i="1" s="1"/>
  <c r="H54" i="1"/>
  <c r="S53" i="1"/>
  <c r="N53" i="1"/>
  <c r="K53" i="1"/>
  <c r="I53" i="1"/>
  <c r="H53" i="1"/>
  <c r="S52" i="1"/>
  <c r="S51" i="1"/>
  <c r="S50" i="1"/>
  <c r="I50" i="1"/>
  <c r="H50" i="1"/>
  <c r="S49" i="1"/>
  <c r="J49" i="1"/>
  <c r="M49" i="1" s="1"/>
  <c r="I49" i="1"/>
  <c r="H49" i="1"/>
  <c r="S48" i="1"/>
  <c r="M48" i="1"/>
  <c r="I48" i="1"/>
  <c r="J48" i="1" s="1"/>
  <c r="H48" i="1"/>
  <c r="S47" i="1"/>
  <c r="J47" i="1"/>
  <c r="M47" i="1" s="1"/>
  <c r="I47" i="1"/>
  <c r="H47" i="1"/>
  <c r="S46" i="1"/>
  <c r="I46" i="1"/>
  <c r="H46" i="1"/>
  <c r="S45" i="1"/>
  <c r="S44" i="1"/>
  <c r="M44" i="1"/>
  <c r="I44" i="1"/>
  <c r="J44" i="1" s="1"/>
  <c r="H44" i="1"/>
  <c r="S43" i="1"/>
  <c r="J43" i="1"/>
  <c r="M43" i="1" s="1"/>
  <c r="I43" i="1"/>
  <c r="H43" i="1"/>
  <c r="S42" i="1"/>
  <c r="M42" i="1"/>
  <c r="I42" i="1"/>
  <c r="H42" i="1"/>
  <c r="J42" i="1" s="1"/>
  <c r="S41" i="1"/>
  <c r="J41" i="1"/>
  <c r="M41" i="1" s="1"/>
  <c r="I41" i="1"/>
  <c r="H41" i="1"/>
  <c r="S40" i="1"/>
  <c r="M40" i="1"/>
  <c r="I40" i="1"/>
  <c r="H40" i="1"/>
  <c r="J40" i="1" s="1"/>
  <c r="S39" i="1"/>
  <c r="J39" i="1"/>
  <c r="M39" i="1" s="1"/>
  <c r="I39" i="1"/>
  <c r="H39" i="1"/>
  <c r="S38" i="1"/>
  <c r="S37" i="1"/>
  <c r="S36" i="1"/>
  <c r="I36" i="1"/>
  <c r="H36" i="1"/>
  <c r="S35" i="1"/>
  <c r="I35" i="1"/>
  <c r="H35" i="1"/>
  <c r="J35" i="1" s="1"/>
  <c r="M35" i="1" s="1"/>
  <c r="S34" i="1"/>
  <c r="I34" i="1"/>
  <c r="H34" i="1"/>
  <c r="S33" i="1"/>
  <c r="I33" i="1"/>
  <c r="H33" i="1"/>
  <c r="J33" i="1" s="1"/>
  <c r="M33" i="1" s="1"/>
  <c r="S32" i="1"/>
  <c r="I32" i="1"/>
  <c r="H32" i="1"/>
  <c r="S31" i="1"/>
  <c r="I31" i="1"/>
  <c r="H31" i="1"/>
  <c r="J31" i="1" s="1"/>
  <c r="M31" i="1" s="1"/>
  <c r="S30" i="1"/>
  <c r="I30" i="1"/>
  <c r="H30" i="1"/>
  <c r="S29" i="1"/>
  <c r="N29" i="1"/>
  <c r="K29" i="1"/>
  <c r="I29" i="1"/>
  <c r="H29" i="1"/>
  <c r="S28" i="1"/>
  <c r="S27" i="1"/>
  <c r="S26" i="1"/>
  <c r="S25" i="1"/>
  <c r="S24" i="1"/>
  <c r="S23" i="1"/>
  <c r="I23" i="1"/>
  <c r="H23" i="1"/>
  <c r="J23" i="1" s="1"/>
  <c r="S22" i="1"/>
  <c r="I22" i="1"/>
  <c r="H22" i="1"/>
  <c r="S21" i="1"/>
  <c r="I21" i="1"/>
  <c r="H21" i="1"/>
  <c r="J21" i="1" s="1"/>
  <c r="M21" i="1" s="1"/>
  <c r="S20" i="1"/>
  <c r="I20" i="1"/>
  <c r="H20" i="1"/>
  <c r="S19" i="1"/>
  <c r="I19" i="1"/>
  <c r="H19" i="1"/>
  <c r="J19" i="1" s="1"/>
  <c r="M19" i="1" s="1"/>
  <c r="S18" i="1"/>
  <c r="I18" i="1"/>
  <c r="H18" i="1"/>
  <c r="S17" i="1"/>
  <c r="I17" i="1"/>
  <c r="H17" i="1"/>
  <c r="J17" i="1" s="1"/>
  <c r="M17" i="1" s="1"/>
  <c r="S16" i="1"/>
  <c r="I16" i="1"/>
  <c r="H16" i="1"/>
  <c r="S15" i="1"/>
  <c r="I15" i="1"/>
  <c r="H15" i="1"/>
  <c r="J15" i="1" s="1"/>
  <c r="M15" i="1" s="1"/>
  <c r="S14" i="1"/>
  <c r="I14" i="1"/>
  <c r="H14" i="1"/>
  <c r="S13" i="1"/>
  <c r="S12" i="1"/>
  <c r="M12" i="1"/>
  <c r="I12" i="1"/>
  <c r="J12" i="1" s="1"/>
  <c r="H12" i="1"/>
  <c r="S11" i="1"/>
  <c r="J11" i="1"/>
  <c r="M11" i="1" s="1"/>
  <c r="I11" i="1"/>
  <c r="H11" i="1"/>
  <c r="S10" i="1"/>
  <c r="I10" i="1"/>
  <c r="H10" i="1"/>
  <c r="S9" i="1"/>
  <c r="J9" i="1"/>
  <c r="M9" i="1" s="1"/>
  <c r="I9" i="1"/>
  <c r="H9" i="1"/>
  <c r="S8" i="1"/>
  <c r="I8" i="1"/>
  <c r="H8" i="1"/>
  <c r="S7" i="1"/>
  <c r="J7" i="1"/>
  <c r="M7" i="1" s="1"/>
  <c r="I7" i="1"/>
  <c r="H7" i="1"/>
  <c r="S6" i="1"/>
  <c r="I6" i="1"/>
  <c r="H6" i="1"/>
  <c r="S5" i="1"/>
  <c r="J5" i="1"/>
  <c r="M5" i="1" s="1"/>
  <c r="I5" i="1"/>
  <c r="H5" i="1"/>
  <c r="S4" i="1"/>
  <c r="M4" i="1"/>
  <c r="I4" i="1"/>
  <c r="J4" i="1" s="1"/>
  <c r="H4" i="1"/>
  <c r="M23" i="1" l="1"/>
  <c r="J29" i="1"/>
  <c r="M29" i="1" s="1"/>
  <c r="K6" i="4"/>
  <c r="O6" i="13"/>
  <c r="K12" i="4"/>
  <c r="M12" i="4" s="1"/>
  <c r="O12" i="13"/>
  <c r="K21" i="4"/>
  <c r="L21" i="4" s="1"/>
  <c r="O21" i="13"/>
  <c r="K28" i="4"/>
  <c r="L28" i="4" s="1"/>
  <c r="O28" i="13"/>
  <c r="K32" i="4"/>
  <c r="O32" i="13"/>
  <c r="K39" i="4"/>
  <c r="O39" i="13"/>
  <c r="K51" i="4"/>
  <c r="O51" i="13"/>
  <c r="K63" i="4"/>
  <c r="L63" i="4" s="1"/>
  <c r="O63" i="13"/>
  <c r="K68" i="4"/>
  <c r="L68" i="4" s="1"/>
  <c r="O68" i="13"/>
  <c r="K5" i="4"/>
  <c r="L5" i="4" s="1"/>
  <c r="O5" i="13"/>
  <c r="K11" i="4"/>
  <c r="C5" i="6"/>
  <c r="O11" i="13"/>
  <c r="K17" i="4"/>
  <c r="L17" i="4" s="1"/>
  <c r="O17" i="13"/>
  <c r="K25" i="4"/>
  <c r="L25" i="4" s="1"/>
  <c r="O25" i="13"/>
  <c r="K26" i="4"/>
  <c r="L26" i="4" s="1"/>
  <c r="O26" i="13"/>
  <c r="K30" i="4"/>
  <c r="M30" i="4" s="1"/>
  <c r="O30" i="13"/>
  <c r="K43" i="4"/>
  <c r="L43" i="4" s="1"/>
  <c r="O43" i="13"/>
  <c r="K47" i="4"/>
  <c r="L47" i="4" s="1"/>
  <c r="O47" i="13"/>
  <c r="K50" i="4"/>
  <c r="L50" i="4" s="1"/>
  <c r="O50" i="13"/>
  <c r="K55" i="4"/>
  <c r="O55" i="13"/>
  <c r="K56" i="4"/>
  <c r="M56" i="4" s="1"/>
  <c r="O56" i="13"/>
  <c r="E10" i="6"/>
  <c r="O62" i="13"/>
  <c r="K62" i="4"/>
  <c r="M62" i="4" s="1"/>
  <c r="K67" i="4"/>
  <c r="O67" i="13"/>
  <c r="M71" i="4"/>
  <c r="K76" i="4"/>
  <c r="L76" i="4" s="1"/>
  <c r="O76" i="13"/>
  <c r="L86" i="4"/>
  <c r="K119" i="4"/>
  <c r="L119" i="4" s="1"/>
  <c r="O118" i="13"/>
  <c r="K18" i="4"/>
  <c r="O18" i="13"/>
  <c r="K22" i="4"/>
  <c r="L22" i="4" s="1"/>
  <c r="O22" i="13"/>
  <c r="K33" i="4"/>
  <c r="L33" i="4" s="1"/>
  <c r="O33" i="13"/>
  <c r="K44" i="4"/>
  <c r="O44" i="13"/>
  <c r="K48" i="4"/>
  <c r="O48" i="13"/>
  <c r="K58" i="4"/>
  <c r="L58" i="4" s="1"/>
  <c r="O58" i="13"/>
  <c r="K59" i="4"/>
  <c r="M59" i="4" s="1"/>
  <c r="O59" i="13"/>
  <c r="K69" i="4"/>
  <c r="L69" i="4" s="1"/>
  <c r="O69" i="13"/>
  <c r="K73" i="4"/>
  <c r="L73" i="4" s="1"/>
  <c r="O73" i="13"/>
  <c r="K107" i="4"/>
  <c r="L107" i="4" s="1"/>
  <c r="O106" i="13"/>
  <c r="J6" i="1"/>
  <c r="M6" i="1" s="1"/>
  <c r="J8" i="1"/>
  <c r="M8" i="1" s="1"/>
  <c r="J10" i="1"/>
  <c r="M10" i="1" s="1"/>
  <c r="J46" i="1"/>
  <c r="M46" i="1" s="1"/>
  <c r="J50" i="1"/>
  <c r="J56" i="1"/>
  <c r="M56" i="1" s="1"/>
  <c r="J72" i="1"/>
  <c r="M72" i="1" s="1"/>
  <c r="J80" i="1"/>
  <c r="M80" i="1" s="1"/>
  <c r="J88" i="1"/>
  <c r="J94" i="1"/>
  <c r="M94" i="1" s="1"/>
  <c r="C4" i="6"/>
  <c r="K4" i="4"/>
  <c r="L4" i="4" s="1"/>
  <c r="K8" i="4"/>
  <c r="K9" i="4" s="1"/>
  <c r="K10" i="4" s="1"/>
  <c r="O8" i="13"/>
  <c r="O9" i="13"/>
  <c r="K13" i="4"/>
  <c r="L13" i="4" s="1"/>
  <c r="O13" i="13"/>
  <c r="M18" i="4"/>
  <c r="K20" i="4"/>
  <c r="O20" i="13"/>
  <c r="M22" i="4"/>
  <c r="M34" i="4"/>
  <c r="K37" i="4"/>
  <c r="M37" i="4" s="1"/>
  <c r="O37" i="13"/>
  <c r="K38" i="4"/>
  <c r="L38" i="4" s="1"/>
  <c r="O38" i="13"/>
  <c r="K42" i="4"/>
  <c r="L42" i="4" s="1"/>
  <c r="O42" i="13"/>
  <c r="K46" i="4"/>
  <c r="L46" i="4" s="1"/>
  <c r="O46" i="13"/>
  <c r="M48" i="4"/>
  <c r="O53" i="13"/>
  <c r="K53" i="4"/>
  <c r="L53" i="4" s="1"/>
  <c r="K54" i="4"/>
  <c r="L54" i="4" s="1"/>
  <c r="O54" i="13"/>
  <c r="K61" i="4"/>
  <c r="M61" i="4" s="1"/>
  <c r="O61" i="13"/>
  <c r="K65" i="4"/>
  <c r="L65" i="4" s="1"/>
  <c r="O65" i="13"/>
  <c r="K70" i="4"/>
  <c r="L70" i="4" s="1"/>
  <c r="O70" i="13"/>
  <c r="K27" i="4"/>
  <c r="L27" i="4" s="1"/>
  <c r="O27" i="13"/>
  <c r="J14" i="1"/>
  <c r="M14" i="1" s="1"/>
  <c r="J16" i="1"/>
  <c r="M16" i="1" s="1"/>
  <c r="J18" i="1"/>
  <c r="M18" i="1" s="1"/>
  <c r="J20" i="1"/>
  <c r="M20" i="1" s="1"/>
  <c r="J22" i="1"/>
  <c r="M22" i="1" s="1"/>
  <c r="J30" i="1"/>
  <c r="M30" i="1" s="1"/>
  <c r="J32" i="1"/>
  <c r="M32" i="1" s="1"/>
  <c r="J34" i="1"/>
  <c r="M34" i="1" s="1"/>
  <c r="J36" i="1"/>
  <c r="M36" i="1" s="1"/>
  <c r="J62" i="1"/>
  <c r="M62" i="1" s="1"/>
  <c r="K7" i="4"/>
  <c r="L7" i="4" s="1"/>
  <c r="O7" i="13"/>
  <c r="M9" i="4"/>
  <c r="C6" i="6"/>
  <c r="K19" i="4"/>
  <c r="O19" i="13"/>
  <c r="K23" i="4"/>
  <c r="L23" i="4" s="1"/>
  <c r="O23" i="13"/>
  <c r="K24" i="4"/>
  <c r="L24" i="4" s="1"/>
  <c r="O24" i="13"/>
  <c r="K29" i="4"/>
  <c r="L29" i="4" s="1"/>
  <c r="O29" i="13"/>
  <c r="M32" i="4"/>
  <c r="K34" i="4"/>
  <c r="L34" i="4" s="1"/>
  <c r="O34" i="13"/>
  <c r="K35" i="4"/>
  <c r="L35" i="4" s="1"/>
  <c r="O35" i="13"/>
  <c r="M38" i="4"/>
  <c r="K45" i="4"/>
  <c r="L45" i="4" s="1"/>
  <c r="O45" i="13"/>
  <c r="K49" i="4"/>
  <c r="O49" i="13"/>
  <c r="K52" i="4"/>
  <c r="L52" i="4" s="1"/>
  <c r="O52" i="13"/>
  <c r="K64" i="4"/>
  <c r="O64" i="13"/>
  <c r="M66" i="4"/>
  <c r="M41" i="4"/>
  <c r="O66" i="13"/>
  <c r="O71" i="13"/>
  <c r="K71" i="4"/>
  <c r="L83" i="4"/>
  <c r="M85" i="4"/>
  <c r="M91" i="4"/>
  <c r="O100" i="13"/>
  <c r="K100" i="4"/>
  <c r="L100" i="4" s="1"/>
  <c r="L101" i="4"/>
  <c r="O109" i="13"/>
  <c r="K110" i="4"/>
  <c r="L110" i="4" s="1"/>
  <c r="L8" i="4"/>
  <c r="M10" i="4"/>
  <c r="L14" i="4"/>
  <c r="O74" i="13"/>
  <c r="K74" i="4"/>
  <c r="L74" i="4" s="1"/>
  <c r="K90" i="4"/>
  <c r="M90" i="4" s="1"/>
  <c r="O90" i="13"/>
  <c r="K93" i="4"/>
  <c r="L93" i="4" s="1"/>
  <c r="O93" i="13"/>
  <c r="K95" i="4"/>
  <c r="L95" i="4" s="1"/>
  <c r="O95" i="13"/>
  <c r="K104" i="4"/>
  <c r="O104" i="13"/>
  <c r="K108" i="4"/>
  <c r="L108" i="4" s="1"/>
  <c r="O107" i="13"/>
  <c r="K117" i="4"/>
  <c r="L117" i="4" s="1"/>
  <c r="O116" i="13"/>
  <c r="K88" i="4"/>
  <c r="L88" i="4" s="1"/>
  <c r="P5" i="14"/>
  <c r="N5" i="14"/>
  <c r="P8" i="14"/>
  <c r="N8" i="14"/>
  <c r="P11" i="14"/>
  <c r="N11" i="14"/>
  <c r="P17" i="14"/>
  <c r="N17" i="14"/>
  <c r="P19" i="14"/>
  <c r="N19" i="14"/>
  <c r="P24" i="14"/>
  <c r="N24" i="14"/>
  <c r="P27" i="14"/>
  <c r="N27" i="14"/>
  <c r="P32" i="14"/>
  <c r="N32" i="14"/>
  <c r="P35" i="14"/>
  <c r="N35" i="14"/>
  <c r="P40" i="14"/>
  <c r="N40" i="14"/>
  <c r="N65" i="14"/>
  <c r="P65" i="14"/>
  <c r="N80" i="14"/>
  <c r="P80" i="14"/>
  <c r="N88" i="14"/>
  <c r="P88" i="14"/>
  <c r="M4" i="13"/>
  <c r="J4" i="4" s="1"/>
  <c r="E4" i="6" s="1"/>
  <c r="O14" i="13"/>
  <c r="O15" i="13"/>
  <c r="O16" i="13"/>
  <c r="O41" i="13"/>
  <c r="O60" i="13"/>
  <c r="K75" i="4"/>
  <c r="L75" i="4" s="1"/>
  <c r="O75" i="13"/>
  <c r="O77" i="13"/>
  <c r="K77" i="4"/>
  <c r="K78" i="4"/>
  <c r="L78" i="4" s="1"/>
  <c r="O78" i="13"/>
  <c r="O79" i="13"/>
  <c r="O83" i="13"/>
  <c r="O85" i="13"/>
  <c r="O94" i="13"/>
  <c r="K97" i="4"/>
  <c r="L97" i="4" s="1"/>
  <c r="O97" i="13"/>
  <c r="O98" i="13"/>
  <c r="K98" i="4"/>
  <c r="K102" i="4"/>
  <c r="O102" i="13"/>
  <c r="K106" i="4"/>
  <c r="L106" i="4" s="1"/>
  <c r="O105" i="13"/>
  <c r="M108" i="13"/>
  <c r="J109" i="4" s="1"/>
  <c r="K112" i="4"/>
  <c r="M112" i="4" s="1"/>
  <c r="O111" i="13"/>
  <c r="K114" i="4"/>
  <c r="O113" i="13"/>
  <c r="O115" i="13"/>
  <c r="K116" i="4"/>
  <c r="K118" i="4"/>
  <c r="O117" i="13"/>
  <c r="K120" i="4"/>
  <c r="M31" i="4"/>
  <c r="M67" i="4"/>
  <c r="K72" i="4"/>
  <c r="L72" i="4" s="1"/>
  <c r="O72" i="13"/>
  <c r="O82" i="13"/>
  <c r="O86" i="13"/>
  <c r="K87" i="4"/>
  <c r="L87" i="4" s="1"/>
  <c r="O87" i="13"/>
  <c r="K89" i="4"/>
  <c r="L89" i="4" s="1"/>
  <c r="O89" i="13"/>
  <c r="O99" i="13"/>
  <c r="O101" i="13"/>
  <c r="K103" i="4"/>
  <c r="L103" i="4" s="1"/>
  <c r="O103" i="13"/>
  <c r="O110" i="13"/>
  <c r="K113" i="4"/>
  <c r="O112" i="13"/>
  <c r="M120" i="4"/>
  <c r="K94" i="4"/>
  <c r="L94" i="4" s="1"/>
  <c r="P4" i="14"/>
  <c r="N4" i="14"/>
  <c r="P7" i="14"/>
  <c r="N7" i="14"/>
  <c r="N14" i="14"/>
  <c r="P14" i="14"/>
  <c r="P18" i="14"/>
  <c r="N18" i="14"/>
  <c r="N21" i="14"/>
  <c r="P21" i="14"/>
  <c r="P26" i="14"/>
  <c r="N26" i="14"/>
  <c r="N29" i="14"/>
  <c r="P29" i="14"/>
  <c r="P34" i="14"/>
  <c r="N34" i="14"/>
  <c r="N37" i="14"/>
  <c r="P37" i="14"/>
  <c r="N73" i="14"/>
  <c r="P73" i="14"/>
  <c r="N96" i="14"/>
  <c r="P96" i="14"/>
  <c r="N113" i="14"/>
  <c r="P113" i="14"/>
  <c r="N6" i="14"/>
  <c r="P6" i="14"/>
  <c r="P9" i="14"/>
  <c r="N9" i="14"/>
  <c r="P12" i="14"/>
  <c r="N12" i="14"/>
  <c r="P15" i="14"/>
  <c r="N15" i="14"/>
  <c r="P22" i="14"/>
  <c r="N22" i="14"/>
  <c r="N25" i="14"/>
  <c r="P25" i="14"/>
  <c r="P30" i="14"/>
  <c r="N30" i="14"/>
  <c r="N33" i="14"/>
  <c r="P33" i="14"/>
  <c r="P38" i="14"/>
  <c r="N38" i="14"/>
  <c r="N41" i="14"/>
  <c r="P41" i="14"/>
  <c r="N10" i="14"/>
  <c r="P10" i="14"/>
  <c r="P13" i="14"/>
  <c r="N13" i="14"/>
  <c r="P16" i="14"/>
  <c r="N16" i="14"/>
  <c r="P20" i="14"/>
  <c r="N20" i="14"/>
  <c r="P23" i="14"/>
  <c r="N23" i="14"/>
  <c r="P28" i="14"/>
  <c r="N28" i="14"/>
  <c r="P31" i="14"/>
  <c r="N31" i="14"/>
  <c r="P36" i="14"/>
  <c r="N36" i="14"/>
  <c r="P39" i="14"/>
  <c r="N39" i="14"/>
  <c r="N104" i="14"/>
  <c r="P104" i="14"/>
  <c r="N45" i="14"/>
  <c r="P45" i="14"/>
  <c r="N49" i="14"/>
  <c r="P49" i="14"/>
  <c r="N53" i="14"/>
  <c r="P53" i="14"/>
  <c r="N57" i="14"/>
  <c r="P57" i="14"/>
  <c r="N61" i="14"/>
  <c r="P61" i="14"/>
  <c r="P70" i="14"/>
  <c r="N70" i="14"/>
  <c r="N77" i="14"/>
  <c r="P77" i="14"/>
  <c r="N84" i="14"/>
  <c r="P84" i="14"/>
  <c r="P93" i="14"/>
  <c r="N93" i="14"/>
  <c r="N100" i="14"/>
  <c r="P100" i="14"/>
  <c r="N109" i="14"/>
  <c r="P109" i="14"/>
  <c r="P118" i="14"/>
  <c r="N118" i="14"/>
  <c r="P67" i="14"/>
  <c r="N72" i="14"/>
  <c r="P74" i="14"/>
  <c r="N74" i="14"/>
  <c r="P81" i="14"/>
  <c r="N81" i="14"/>
  <c r="P90" i="14"/>
  <c r="N95" i="14"/>
  <c r="P97" i="14"/>
  <c r="N97" i="14"/>
  <c r="P106" i="14"/>
  <c r="N106" i="14"/>
  <c r="P115" i="14"/>
  <c r="N120" i="14"/>
  <c r="P42" i="14"/>
  <c r="N42" i="14"/>
  <c r="P46" i="14"/>
  <c r="N46" i="14"/>
  <c r="P50" i="14"/>
  <c r="N50" i="14"/>
  <c r="P54" i="14"/>
  <c r="N54" i="14"/>
  <c r="P58" i="14"/>
  <c r="N58" i="14"/>
  <c r="P62" i="14"/>
  <c r="N62" i="14"/>
  <c r="N69" i="14"/>
  <c r="P69" i="14"/>
  <c r="P78" i="14"/>
  <c r="N78" i="14"/>
  <c r="P85" i="14"/>
  <c r="N85" i="14"/>
  <c r="N92" i="14"/>
  <c r="P92" i="14"/>
  <c r="P101" i="14"/>
  <c r="N101" i="14"/>
  <c r="P110" i="14"/>
  <c r="N110" i="14"/>
  <c r="N117" i="14"/>
  <c r="P117" i="14"/>
  <c r="N64" i="14"/>
  <c r="P66" i="14"/>
  <c r="N66" i="14"/>
  <c r="P75" i="14"/>
  <c r="P82" i="14"/>
  <c r="N87" i="14"/>
  <c r="P89" i="14"/>
  <c r="N89" i="14"/>
  <c r="P98" i="14"/>
  <c r="N103" i="14"/>
  <c r="N105" i="14"/>
  <c r="P105" i="14"/>
  <c r="P107" i="14"/>
  <c r="N112" i="14"/>
  <c r="P114" i="14"/>
  <c r="N114" i="14"/>
  <c r="I21" i="7"/>
  <c r="I31" i="7" s="1"/>
  <c r="I25" i="7"/>
  <c r="L90" i="4"/>
  <c r="E5" i="6"/>
  <c r="F5" i="6" s="1"/>
  <c r="L79" i="4"/>
  <c r="L91" i="4"/>
  <c r="M51" i="4"/>
  <c r="M111" i="4"/>
  <c r="E7" i="6"/>
  <c r="M53" i="4"/>
  <c r="L71" i="4"/>
  <c r="M104" i="4"/>
  <c r="M80" i="4"/>
  <c r="L81" i="4"/>
  <c r="L55" i="4"/>
  <c r="L82" i="4"/>
  <c r="L36" i="4"/>
  <c r="L12" i="4"/>
  <c r="E9" i="6"/>
  <c r="M114" i="4"/>
  <c r="L20" i="4"/>
  <c r="L37" i="4"/>
  <c r="L40" i="4"/>
  <c r="M6" i="4"/>
  <c r="E12" i="6"/>
  <c r="L84" i="4"/>
  <c r="E13" i="6"/>
  <c r="E14" i="6"/>
  <c r="F14" i="6" s="1"/>
  <c r="E15" i="6"/>
  <c r="E16" i="6"/>
  <c r="L85" i="4"/>
  <c r="E18" i="6"/>
  <c r="L10" i="4"/>
  <c r="E11" i="6"/>
  <c r="C13" i="6"/>
  <c r="G13" i="6" s="1"/>
  <c r="H13" i="6" s="1"/>
  <c r="C14" i="6"/>
  <c r="C16" i="6"/>
  <c r="L118" i="4"/>
  <c r="L109" i="4"/>
  <c r="L77" i="4"/>
  <c r="L9" i="4"/>
  <c r="L11" i="4"/>
  <c r="M19" i="4"/>
  <c r="J105" i="4"/>
  <c r="E8" i="6"/>
  <c r="M113" i="4"/>
  <c r="L57" i="4"/>
  <c r="L39" i="4"/>
  <c r="E6" i="6"/>
  <c r="F6" i="6" s="1"/>
  <c r="M44" i="4"/>
  <c r="C7" i="6"/>
  <c r="G7" i="6" s="1"/>
  <c r="H7" i="6" s="1"/>
  <c r="L114" i="4"/>
  <c r="L62" i="4"/>
  <c r="L19" i="4"/>
  <c r="L111" i="4"/>
  <c r="F7" i="6"/>
  <c r="L104" i="4"/>
  <c r="L80" i="4"/>
  <c r="L113" i="4"/>
  <c r="M11" i="4"/>
  <c r="M100" i="4"/>
  <c r="M102" i="4"/>
  <c r="M42" i="4"/>
  <c r="M79" i="4"/>
  <c r="L51" i="4"/>
  <c r="L44" i="4"/>
  <c r="L61" i="4"/>
  <c r="M55" i="4"/>
  <c r="M73" i="4"/>
  <c r="M36" i="4"/>
  <c r="M93" i="4"/>
  <c r="M20" i="4"/>
  <c r="M13" i="4"/>
  <c r="M45" i="4"/>
  <c r="M57" i="4"/>
  <c r="M39" i="4"/>
  <c r="M106" i="4"/>
  <c r="G6" i="6"/>
  <c r="H6" i="6" s="1"/>
  <c r="M23" i="4"/>
  <c r="M24" i="4"/>
  <c r="M115" i="4"/>
  <c r="L6" i="4"/>
  <c r="L49" i="4"/>
  <c r="M15" i="4"/>
  <c r="M74" i="4"/>
  <c r="M16" i="4"/>
  <c r="M26" i="4"/>
  <c r="M64" i="4"/>
  <c r="M94" i="4"/>
  <c r="M95" i="4"/>
  <c r="M21" i="4"/>
  <c r="M27" i="4"/>
  <c r="M58" i="4"/>
  <c r="M107" i="4"/>
  <c r="M17" i="4"/>
  <c r="M96" i="4"/>
  <c r="M65" i="4"/>
  <c r="M47" i="4"/>
  <c r="M7" i="4"/>
  <c r="M116" i="4"/>
  <c r="M75" i="4"/>
  <c r="M8" i="4"/>
  <c r="M117" i="4"/>
  <c r="M118" i="4"/>
  <c r="M109" i="4"/>
  <c r="M77" i="4"/>
  <c r="M98" i="4"/>
  <c r="L18" i="4"/>
  <c r="L66" i="4"/>
  <c r="L41" i="4"/>
  <c r="L59" i="4"/>
  <c r="L60" i="4"/>
  <c r="L31" i="4"/>
  <c r="L99" i="4"/>
  <c r="L32" i="4"/>
  <c r="L48" i="4"/>
  <c r="L120" i="4"/>
  <c r="L67" i="4"/>
  <c r="M33" i="4"/>
  <c r="M110" i="4"/>
  <c r="M68" i="4"/>
  <c r="M86" i="4"/>
  <c r="M87" i="4"/>
  <c r="M49" i="4"/>
  <c r="L64" i="4"/>
  <c r="L116" i="4"/>
  <c r="L30" i="4"/>
  <c r="L98" i="4"/>
  <c r="M99" i="4"/>
  <c r="F4" i="6" l="1"/>
  <c r="G4" i="6"/>
  <c r="H4" i="6" s="1"/>
  <c r="M63" i="4"/>
  <c r="C11" i="6"/>
  <c r="F11" i="6" s="1"/>
  <c r="K105" i="4"/>
  <c r="C17" i="6" s="1"/>
  <c r="M119" i="4"/>
  <c r="M97" i="4"/>
  <c r="M108" i="4"/>
  <c r="M50" i="4"/>
  <c r="C8" i="6"/>
  <c r="G8" i="6" s="1"/>
  <c r="H8" i="6" s="1"/>
  <c r="M4" i="4"/>
  <c r="M103" i="4"/>
  <c r="C9" i="6"/>
  <c r="E17" i="6"/>
  <c r="C18" i="6"/>
  <c r="G18" i="6" s="1"/>
  <c r="H18" i="6" s="1"/>
  <c r="C15" i="6"/>
  <c r="G15" i="6" s="1"/>
  <c r="H15" i="6" s="1"/>
  <c r="F16" i="6"/>
  <c r="L56" i="4"/>
  <c r="L105" i="4" s="1"/>
  <c r="L102" i="4"/>
  <c r="M78" i="4"/>
  <c r="M54" i="4"/>
  <c r="M29" i="4"/>
  <c r="M5" i="4"/>
  <c r="L112" i="4"/>
  <c r="C12" i="6"/>
  <c r="G12" i="6" s="1"/>
  <c r="H12" i="6" s="1"/>
  <c r="M76" i="4"/>
  <c r="M88" i="4"/>
  <c r="M28" i="4"/>
  <c r="M46" i="4"/>
  <c r="M25" i="4"/>
  <c r="M52" i="4"/>
  <c r="C10" i="6"/>
  <c r="M43" i="4"/>
  <c r="O108" i="13"/>
  <c r="O4" i="13"/>
  <c r="J90" i="1"/>
  <c r="M90" i="1" s="1"/>
  <c r="M88" i="1"/>
  <c r="M50" i="1"/>
  <c r="J53" i="1"/>
  <c r="M53" i="1" s="1"/>
  <c r="M35" i="4"/>
  <c r="G5" i="6"/>
  <c r="H5" i="6" s="1"/>
  <c r="G16" i="6"/>
  <c r="H16" i="6" s="1"/>
  <c r="G14" i="6"/>
  <c r="H14" i="6" s="1"/>
  <c r="G11" i="6"/>
  <c r="H11" i="6" s="1"/>
  <c r="F8" i="6"/>
  <c r="F15" i="6"/>
  <c r="F13" i="6"/>
  <c r="F12" i="6"/>
  <c r="E19" i="6"/>
  <c r="M105" i="4"/>
  <c r="G17" i="6" l="1"/>
  <c r="H17" i="6" s="1"/>
  <c r="F17" i="6"/>
  <c r="C19" i="6"/>
  <c r="F19" i="6" s="1"/>
  <c r="F18" i="6"/>
  <c r="G9" i="6"/>
  <c r="H9" i="6" s="1"/>
  <c r="F9" i="6"/>
  <c r="G10" i="6"/>
  <c r="H10" i="6" s="1"/>
  <c r="F10" i="6"/>
  <c r="G19" i="6" l="1"/>
  <c r="H19" i="6" s="1"/>
</calcChain>
</file>

<file path=xl/comments1.xml><?xml version="1.0" encoding="utf-8"?>
<comments xmlns="http://schemas.openxmlformats.org/spreadsheetml/2006/main">
  <authors>
    <author>pasantesplaneacion</author>
  </authors>
  <commentList>
    <comment ref="C156" authorId="0" shapeId="0">
      <text>
        <r>
          <rPr>
            <b/>
            <sz val="8"/>
            <color indexed="81"/>
            <rFont val="Tahoma"/>
            <family val="2"/>
          </rPr>
          <t>pasantesplaneacion:</t>
        </r>
        <r>
          <rPr>
            <sz val="8"/>
            <color indexed="81"/>
            <rFont val="Tahoma"/>
            <family val="2"/>
          </rPr>
          <t xml:space="preserve">
REVISAR</t>
        </r>
      </text>
    </comment>
  </commentList>
</comments>
</file>

<file path=xl/comments2.xml><?xml version="1.0" encoding="utf-8"?>
<comments xmlns="http://schemas.openxmlformats.org/spreadsheetml/2006/main">
  <authors>
    <author>pasantesplaneacion</author>
    <author>camurcia</author>
  </authors>
  <commentList>
    <comment ref="M39" authorId="0" shapeId="0">
      <text>
        <r>
          <rPr>
            <b/>
            <sz val="8"/>
            <color indexed="81"/>
            <rFont val="Tahoma"/>
            <family val="2"/>
          </rPr>
          <t>pasantesplaneacion:</t>
        </r>
        <r>
          <rPr>
            <sz val="8"/>
            <color indexed="81"/>
            <rFont val="Tahoma"/>
            <family val="2"/>
          </rPr>
          <t xml:space="preserve">
no esta en el resumen</t>
        </r>
      </text>
    </comment>
    <comment ref="L87" authorId="1" shapeId="0">
      <text>
        <r>
          <rPr>
            <b/>
            <sz val="9"/>
            <color indexed="81"/>
            <rFont val="Tahoma"/>
            <family val="2"/>
          </rPr>
          <t>camurcia: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0" authorId="0" shapeId="0">
      <text>
        <r>
          <rPr>
            <b/>
            <sz val="8"/>
            <color indexed="81"/>
            <rFont val="Tahoma"/>
            <family val="2"/>
          </rPr>
          <t xml:space="preserve">pasantesplaneacion: </t>
        </r>
        <r>
          <rPr>
            <sz val="8"/>
            <color indexed="81"/>
            <rFont val="Tahoma"/>
            <family val="2"/>
          </rPr>
          <t>se financia con especificas 2012, pero no aparece en el portal del sgr</t>
        </r>
      </text>
    </comment>
  </commentList>
</comments>
</file>

<file path=xl/comments3.xml><?xml version="1.0" encoding="utf-8"?>
<comments xmlns="http://schemas.openxmlformats.org/spreadsheetml/2006/main">
  <authors>
    <author>pasantesplaneacion</author>
  </authors>
  <commentList>
    <comment ref="J39" authorId="0" shapeId="0">
      <text>
        <r>
          <rPr>
            <b/>
            <sz val="8"/>
            <color indexed="81"/>
            <rFont val="Tahoma"/>
            <family val="2"/>
          </rPr>
          <t>pasantesplaneacion:</t>
        </r>
        <r>
          <rPr>
            <sz val="8"/>
            <color indexed="81"/>
            <rFont val="Tahoma"/>
            <family val="2"/>
          </rPr>
          <t xml:space="preserve">
no esta en el resumen</t>
        </r>
      </text>
    </comment>
    <comment ref="I90" authorId="0" shapeId="0">
      <text>
        <r>
          <rPr>
            <b/>
            <sz val="8"/>
            <color indexed="81"/>
            <rFont val="Tahoma"/>
            <family val="2"/>
          </rPr>
          <t xml:space="preserve">pasantesplaneacion: </t>
        </r>
        <r>
          <rPr>
            <sz val="8"/>
            <color indexed="81"/>
            <rFont val="Tahoma"/>
            <family val="2"/>
          </rPr>
          <t>se financia con especificas 2012, pero no aparece en el portal del sgr</t>
        </r>
      </text>
    </comment>
  </commentList>
</comments>
</file>

<file path=xl/comments4.xml><?xml version="1.0" encoding="utf-8"?>
<comments xmlns="http://schemas.openxmlformats.org/spreadsheetml/2006/main">
  <authors>
    <author>pasantesplaneacion</author>
  </authors>
  <commentList>
    <comment ref="I9" authorId="0" shapeId="0">
      <text>
        <r>
          <rPr>
            <b/>
            <sz val="8"/>
            <color indexed="81"/>
            <rFont val="Tahoma"/>
            <family val="2"/>
          </rPr>
          <t xml:space="preserve">pasantesplaneacion: </t>
        </r>
        <r>
          <rPr>
            <sz val="8"/>
            <color indexed="81"/>
            <rFont val="Tahoma"/>
            <family val="2"/>
          </rPr>
          <t>se financia con especificas 2012, pero no aparece en el portal del sgr</t>
        </r>
      </text>
    </comment>
  </commentList>
</comments>
</file>

<file path=xl/sharedStrings.xml><?xml version="1.0" encoding="utf-8"?>
<sst xmlns="http://schemas.openxmlformats.org/spreadsheetml/2006/main" count="1409" uniqueCount="257">
  <si>
    <t>ALMEIDAS</t>
  </si>
  <si>
    <t>Choconta</t>
  </si>
  <si>
    <t>Macheta</t>
  </si>
  <si>
    <t xml:space="preserve">Manta </t>
  </si>
  <si>
    <t>Sesquile</t>
  </si>
  <si>
    <t xml:space="preserve">Suesca </t>
  </si>
  <si>
    <t>Tibirita</t>
  </si>
  <si>
    <t>Villapinzon</t>
  </si>
  <si>
    <t>2013-2014</t>
  </si>
  <si>
    <t>ASIGNACIONES DIRECTAS</t>
  </si>
  <si>
    <t>FCR</t>
  </si>
  <si>
    <t>ALTO MAGDALENA</t>
  </si>
  <si>
    <t>Agua de Dios</t>
  </si>
  <si>
    <t>Girardot</t>
  </si>
  <si>
    <t>Guataquí</t>
  </si>
  <si>
    <t>Jerusalén</t>
  </si>
  <si>
    <t>Nariño</t>
  </si>
  <si>
    <t>Nilo</t>
  </si>
  <si>
    <t>Ricaurte</t>
  </si>
  <si>
    <t>Tocaima</t>
  </si>
  <si>
    <t>?</t>
  </si>
  <si>
    <t>BAJO MAGDALENA</t>
  </si>
  <si>
    <t>Caparrapí</t>
  </si>
  <si>
    <t>Guaduas</t>
  </si>
  <si>
    <t>Puerto Salgar</t>
  </si>
  <si>
    <t>GUALIVA</t>
  </si>
  <si>
    <t>Albán</t>
  </si>
  <si>
    <t>La Peña</t>
  </si>
  <si>
    <t>La Vega</t>
  </si>
  <si>
    <t>Nimaima</t>
  </si>
  <si>
    <t>Nocaima</t>
  </si>
  <si>
    <t>Quebradanegra</t>
  </si>
  <si>
    <t>San Francisco</t>
  </si>
  <si>
    <t>Sasaima</t>
  </si>
  <si>
    <t>Supatá</t>
  </si>
  <si>
    <t>Utica</t>
  </si>
  <si>
    <t>Vergara</t>
  </si>
  <si>
    <t>Villeta</t>
  </si>
  <si>
    <t>RIONEGRO</t>
  </si>
  <si>
    <t>El Peñón</t>
  </si>
  <si>
    <t>La Palma</t>
  </si>
  <si>
    <t>Pacho</t>
  </si>
  <si>
    <t>Paime</t>
  </si>
  <si>
    <t>San Cayetano</t>
  </si>
  <si>
    <t>Topaipí</t>
  </si>
  <si>
    <t>Villagomez</t>
  </si>
  <si>
    <t>Yacopí</t>
  </si>
  <si>
    <t>GUAVIO</t>
  </si>
  <si>
    <t>Gachalá</t>
  </si>
  <si>
    <t>Gachetá</t>
  </si>
  <si>
    <t>Gama</t>
  </si>
  <si>
    <t>Guasca</t>
  </si>
  <si>
    <t>Guatavita</t>
  </si>
  <si>
    <t>Junín</t>
  </si>
  <si>
    <t>La Calera</t>
  </si>
  <si>
    <t>Ubalá</t>
  </si>
  <si>
    <t>SABANA OCCIDENTE</t>
  </si>
  <si>
    <t>Bojacá</t>
  </si>
  <si>
    <t>El Rosal</t>
  </si>
  <si>
    <t>Facatativá</t>
  </si>
  <si>
    <t>Funza</t>
  </si>
  <si>
    <t>Madrid</t>
  </si>
  <si>
    <t>Mosquera</t>
  </si>
  <si>
    <t>Subachoque</t>
  </si>
  <si>
    <t>Zipacón</t>
  </si>
  <si>
    <t>SOACHA</t>
  </si>
  <si>
    <t>Soacha</t>
  </si>
  <si>
    <t>Sibaté</t>
  </si>
  <si>
    <t>MEDINA</t>
  </si>
  <si>
    <t>Medina</t>
  </si>
  <si>
    <t>Paratebueno</t>
  </si>
  <si>
    <t>ORIENTE</t>
  </si>
  <si>
    <t>Cáqueza</t>
  </si>
  <si>
    <t>Chipaque</t>
  </si>
  <si>
    <t>Choachí</t>
  </si>
  <si>
    <t>Fómeque</t>
  </si>
  <si>
    <t>Fosca</t>
  </si>
  <si>
    <t>Guayabetal</t>
  </si>
  <si>
    <t>Gutíerrez</t>
  </si>
  <si>
    <t>Quetame</t>
  </si>
  <si>
    <t>Ubaque</t>
  </si>
  <si>
    <t>Une</t>
  </si>
  <si>
    <t>MAGDALENA CENTRO</t>
  </si>
  <si>
    <t>Beltrán</t>
  </si>
  <si>
    <t>Bituima</t>
  </si>
  <si>
    <t>Chaguaní</t>
  </si>
  <si>
    <t>Guayabal de Siquima</t>
  </si>
  <si>
    <t>Pulí</t>
  </si>
  <si>
    <t>San Juan de Rioseco</t>
  </si>
  <si>
    <t>Vianí</t>
  </si>
  <si>
    <t>SABANA CENTRO</t>
  </si>
  <si>
    <t>Cajicá</t>
  </si>
  <si>
    <t>Chía</t>
  </si>
  <si>
    <t>Cogua</t>
  </si>
  <si>
    <t>Cota</t>
  </si>
  <si>
    <t>Gachancipá</t>
  </si>
  <si>
    <t>Nemocón</t>
  </si>
  <si>
    <t>Sopó</t>
  </si>
  <si>
    <t>Tabio</t>
  </si>
  <si>
    <t>Tenjo</t>
  </si>
  <si>
    <t>Zipaquirá</t>
  </si>
  <si>
    <t>SUMAPAZ</t>
  </si>
  <si>
    <t>Arbélaez</t>
  </si>
  <si>
    <t>Cabrera</t>
  </si>
  <si>
    <t>Fusagasugá</t>
  </si>
  <si>
    <t>Granada</t>
  </si>
  <si>
    <t>Pandi</t>
  </si>
  <si>
    <t>Pasca</t>
  </si>
  <si>
    <t>San Bernardo</t>
  </si>
  <si>
    <t>Silvania</t>
  </si>
  <si>
    <t>Tibacuy</t>
  </si>
  <si>
    <t>Venecia</t>
  </si>
  <si>
    <t>TEQUENDAMA</t>
  </si>
  <si>
    <t>Anapoima</t>
  </si>
  <si>
    <t>Anolaima</t>
  </si>
  <si>
    <t>Apulo</t>
  </si>
  <si>
    <t>Cachipay</t>
  </si>
  <si>
    <t>El Colegio</t>
  </si>
  <si>
    <t>La Mesa</t>
  </si>
  <si>
    <t>Quipile</t>
  </si>
  <si>
    <t>San Antonio</t>
  </si>
  <si>
    <t>Tena</t>
  </si>
  <si>
    <t>Viotá</t>
  </si>
  <si>
    <t>UBATE</t>
  </si>
  <si>
    <t>Carmen de Carupa</t>
  </si>
  <si>
    <t>Cucunubá</t>
  </si>
  <si>
    <t>Fúquene</t>
  </si>
  <si>
    <t>Guachetá</t>
  </si>
  <si>
    <t>Lenguazaque</t>
  </si>
  <si>
    <t>Simijaca</t>
  </si>
  <si>
    <t>Susa</t>
  </si>
  <si>
    <t>Sutatausa</t>
  </si>
  <si>
    <t>Tausa</t>
  </si>
  <si>
    <t>Ubaté</t>
  </si>
  <si>
    <t>OTRAS FUENTES</t>
  </si>
  <si>
    <t>DIRECTAS DEL MUNICIPIO 2012</t>
  </si>
  <si>
    <t>DIRECTAS 2013-2014</t>
  </si>
  <si>
    <t>ESPECIFICAS FCR 40% 2013-2014</t>
  </si>
  <si>
    <t>ESPECIFICAS FCR 40% 2012</t>
  </si>
  <si>
    <t>MUNICIPIOS</t>
  </si>
  <si>
    <t>NO HAN PRESENTADO</t>
  </si>
  <si>
    <t>X</t>
  </si>
  <si>
    <t>TOTAL ASIGNADO</t>
  </si>
  <si>
    <t>VALOR PROYECTO APROBADOS OCAD</t>
  </si>
  <si>
    <t>SALDO POR EJECUTAR</t>
  </si>
  <si>
    <t>OBSERVACIONES</t>
  </si>
  <si>
    <t>REVISAR OTRAS FUENTES</t>
  </si>
  <si>
    <t>Arbeláez</t>
  </si>
  <si>
    <t>Caqueza</t>
  </si>
  <si>
    <t>Chocontá</t>
  </si>
  <si>
    <t>Fomeque</t>
  </si>
  <si>
    <t>Gachala</t>
  </si>
  <si>
    <t>Manta</t>
  </si>
  <si>
    <t>San Antonio del Tequendama</t>
  </si>
  <si>
    <t>San Juan de Río Seco</t>
  </si>
  <si>
    <t>Sesquilé</t>
  </si>
  <si>
    <t>Suesca</t>
  </si>
  <si>
    <t>Tocancipá</t>
  </si>
  <si>
    <t>Villa de San Diego de Ubate</t>
  </si>
  <si>
    <t>Útica</t>
  </si>
  <si>
    <t>Villagómez</t>
  </si>
  <si>
    <t>Villapinzón</t>
  </si>
  <si>
    <t>DIRECTAS</t>
  </si>
  <si>
    <t>ESPECIFICAS</t>
  </si>
  <si>
    <t>TOTAL</t>
  </si>
  <si>
    <t>VALOR PROYECTO APROBADO OCAD</t>
  </si>
  <si>
    <t>MUNICIPIO</t>
  </si>
  <si>
    <t>PROVINCIA</t>
  </si>
  <si>
    <t>TOTAL REGALIAS ASIGNADAS</t>
  </si>
  <si>
    <t>OTRAS FUENTES DE FINANCIACION</t>
  </si>
  <si>
    <t>VALOR APROBADO POR SGR</t>
  </si>
  <si>
    <t>PROVINCIAS</t>
  </si>
  <si>
    <t>TOTAL ASIGNADO DIRECTAS + ESPECIFICAS</t>
  </si>
  <si>
    <t>VALOR PROYECTO(S) APROBADO(S) OCAD</t>
  </si>
  <si>
    <t>SOACHA Y SIBATE</t>
  </si>
  <si>
    <t>$</t>
  </si>
  <si>
    <t>%</t>
  </si>
  <si>
    <t>EJECUCION RECURSOS SGR - OCAD MUNICIPALES VIGENCIA 2012-2014 POR PROVINCIAS DE CUNDINAMARCA</t>
  </si>
  <si>
    <t>80% DE REGALIAS ASIGNADAS 2013-2014</t>
  </si>
  <si>
    <t>DEPORTE Y RECREACION</t>
  </si>
  <si>
    <t>TRASPORTE</t>
  </si>
  <si>
    <t>AGRICOLA</t>
  </si>
  <si>
    <t>EQUIPAMIENTO URBANO</t>
  </si>
  <si>
    <t>AGUA POTABLE Y SANEAMIENTO BASICO</t>
  </si>
  <si>
    <t xml:space="preserve">SALUD </t>
  </si>
  <si>
    <t>EDUCACION</t>
  </si>
  <si>
    <t>CULTURA</t>
  </si>
  <si>
    <t>INCLUSION SOCIAL Y RECONCILIACION</t>
  </si>
  <si>
    <t>SECTOR</t>
  </si>
  <si>
    <t>VIVIENDA</t>
  </si>
  <si>
    <t>AGUA POTABLE</t>
  </si>
  <si>
    <t>MINAS Y ENERGIA</t>
  </si>
  <si>
    <t>SALUD Y PROTECCION SOCIAL</t>
  </si>
  <si>
    <t>TRANSPORTE</t>
  </si>
  <si>
    <t>AGRICULTURA</t>
  </si>
  <si>
    <t>INCLUSION SOCIAL Y RECONSILIACION</t>
  </si>
  <si>
    <t>VIVIENDA RURAL</t>
  </si>
  <si>
    <t>EJECUCION RECURSOS SGR - OCAD MUNICIPALES VIGENCIAS 2012-2014 POR MUNICIPIOS DE CUNDINAMARCA</t>
  </si>
  <si>
    <t>REGALIAS 2012</t>
  </si>
  <si>
    <t>80% REGALIAS 2013-2014</t>
  </si>
  <si>
    <t>VALOR PROYECTO OCAD</t>
  </si>
  <si>
    <t>VALOR RECURSOS SGR</t>
  </si>
  <si>
    <t>Jerusalen</t>
  </si>
  <si>
    <t>Beltran</t>
  </si>
  <si>
    <t>Choachi</t>
  </si>
  <si>
    <t>Cucunuba</t>
  </si>
  <si>
    <t>Gacheta</t>
  </si>
  <si>
    <t>Guacheta</t>
  </si>
  <si>
    <t>Gutierrez</t>
  </si>
  <si>
    <t>Junin</t>
  </si>
  <si>
    <t>Puli</t>
  </si>
  <si>
    <t>San Juan de Rio Se</t>
  </si>
  <si>
    <t>Sibate</t>
  </si>
  <si>
    <t>Sopo</t>
  </si>
  <si>
    <t>Topaipi</t>
  </si>
  <si>
    <t>Villa de San Diego</t>
  </si>
  <si>
    <t>Yacopi</t>
  </si>
  <si>
    <t>Zipaquira</t>
  </si>
  <si>
    <t>SECTORES</t>
  </si>
  <si>
    <t>RECURSOS DEL SGR</t>
  </si>
  <si>
    <t xml:space="preserve">MINAS Y ENERGIA </t>
  </si>
  <si>
    <t>EQUIPAMIENTO</t>
  </si>
  <si>
    <t>DEPORTE</t>
  </si>
  <si>
    <t>INCLUSION SOCIAL</t>
  </si>
  <si>
    <t>SALUD</t>
  </si>
  <si>
    <t>PORCENTAJE</t>
  </si>
  <si>
    <t>CANTIDAD</t>
  </si>
  <si>
    <t>SALDO POR EJECUTAR REGALIAS</t>
  </si>
  <si>
    <t>SALDO DNP</t>
  </si>
  <si>
    <t>SALDO CUNDINAMARCA</t>
  </si>
  <si>
    <t>DIFERENCIA</t>
  </si>
  <si>
    <t>En el archivo del DNP hace falta un proyecto por $ 74.000.000</t>
  </si>
  <si>
    <t>Según el archivo del DNP hay un proyecto de $52.000.000, sin embargo el acuerdo muestra que es por $52.100.000 y en la hoja avance de municipios falta por sumar un proyecto de $300.564.756</t>
  </si>
  <si>
    <t>Diferencia por decreto 1399/2013</t>
  </si>
  <si>
    <t>Existe una diferencia en las asignaciones directas de $18.843.497, el departamento tiene $58.014.873 y el DNP tiene $39.171.376</t>
  </si>
  <si>
    <t>El DNP tiene un proyecto vial por $22.000.000 y el departamento lo tiene por $221.000.000</t>
  </si>
  <si>
    <t>En la base DNP faltan dos proyectos por $246.999.525 y $180.000.000 respectivamente</t>
  </si>
  <si>
    <t xml:space="preserve">La informacion DNP no conduerda con lo reportado en el acuerdo, las asignaciones directas del DNP son inferiores en $20.800.000 </t>
  </si>
  <si>
    <t>En el archivo DNP hay duplicidad de un proyecto con cod. BPIN 2013025320001 por valor de $80.000.000</t>
  </si>
  <si>
    <t>Las asignaciones directas del DNP son inferiores en $230.112</t>
  </si>
  <si>
    <t>Se requieren los acuerdos de los proyectos, por lo que no hay claridad del error</t>
  </si>
  <si>
    <t>Los datos del DNP no concuerdan a los del acuerdo 01</t>
  </si>
  <si>
    <t>No se encuentra registrado un proyecto por $77.473.557 en la base del DNP</t>
  </si>
  <si>
    <t>El proyecto de maquinaria es de $30.000.000 y no de $ 60.824.791 y el proyecto mejoramiento de vias es de $163.149.712 y no de $145.489.931 las inconsistencia son comparadas con los respectivos acuerdos</t>
  </si>
  <si>
    <t>La informacion DNP no conduerda con lo reportado en el acuerdo, el proyecto tiene un valor de $1.229.806.885 y no de $1.239.266.938</t>
  </si>
  <si>
    <t>Lo que registra el DNP por regalias es incorrecto</t>
  </si>
  <si>
    <t>En la base DNP aparece el proyecto de maquinaria por $30.000.000, sin embargo el mismo es por $60.824.791</t>
  </si>
  <si>
    <t>El proyecto tiene un valor de $443.76.757, por consiguiente existe la diferencia con la informacion del DNP</t>
  </si>
  <si>
    <t>Revisar las asignaciones directas de 2012</t>
  </si>
  <si>
    <t>PORCENTAJE SIN EJECUTAR</t>
  </si>
  <si>
    <t>% ejecucion</t>
  </si>
  <si>
    <t>Apropiado</t>
  </si>
  <si>
    <t>Saldo por apropiar</t>
  </si>
  <si>
    <t>AJUSTE AL PRESUPUESTO DECRETO 745 DEL 11 ABRIL 2014</t>
  </si>
  <si>
    <t>AUTORIZACION COMISION RECTORA</t>
  </si>
  <si>
    <t>20% ESPECIFICAS</t>
  </si>
  <si>
    <t>20% DIRECTAS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</si>
</sst>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_ * #,##0.00_ ;_ * \-#,##0.00_ ;_ * &quot;-&quot;??_ ;_ @_ "/>
    <numFmt numFmtId="166" formatCode="_ * #,##0_ ;_ * \-#,##0_ ;_ * &quot;-&quot;??_ ;_ @_ "/>
    <numFmt numFmtId="167" formatCode="_-* #,##0\ _€_-;\-* #,##0\ _€_-;_-* &quot;-&quot;\ _€_-;_-@_-"/>
    <numFmt numFmtId="168" formatCode="0.0%"/>
    <numFmt numFmtId="169" formatCode="_(&quot;$&quot;\ * #,##0_);_(&quot;$&quot;\ * \(#,##0\);_(&quot;$&quot;\ 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6" fontId="0" fillId="0" borderId="0" xfId="1" applyNumberFormat="1" applyFont="1"/>
    <xf numFmtId="166" fontId="0" fillId="0" borderId="0" xfId="0" applyNumberFormat="1"/>
    <xf numFmtId="166" fontId="0" fillId="0" borderId="0" xfId="1" applyNumberFormat="1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6" fontId="3" fillId="2" borderId="0" xfId="0" applyNumberFormat="1" applyFont="1" applyFill="1"/>
    <xf numFmtId="166" fontId="3" fillId="2" borderId="0" xfId="1" applyNumberFormat="1" applyFont="1" applyFill="1"/>
    <xf numFmtId="0" fontId="3" fillId="3" borderId="0" xfId="0" applyFont="1" applyFill="1" applyAlignment="1">
      <alignment horizontal="center"/>
    </xf>
    <xf numFmtId="166" fontId="3" fillId="3" borderId="0" xfId="1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/>
    <xf numFmtId="166" fontId="3" fillId="3" borderId="0" xfId="1" applyNumberFormat="1" applyFont="1" applyFill="1"/>
    <xf numFmtId="0" fontId="0" fillId="3" borderId="0" xfId="0" applyFill="1" applyAlignment="1">
      <alignment horizontal="center"/>
    </xf>
    <xf numFmtId="166" fontId="0" fillId="3" borderId="0" xfId="1" applyNumberFormat="1" applyFont="1" applyFill="1" applyAlignment="1">
      <alignment horizontal="center"/>
    </xf>
    <xf numFmtId="167" fontId="0" fillId="0" borderId="0" xfId="0" applyNumberFormat="1"/>
    <xf numFmtId="0" fontId="0" fillId="0" borderId="0" xfId="0" applyFill="1"/>
    <xf numFmtId="166" fontId="0" fillId="0" borderId="0" xfId="1" applyNumberFormat="1" applyFont="1" applyFill="1"/>
    <xf numFmtId="167" fontId="4" fillId="0" borderId="1" xfId="0" applyNumberFormat="1" applyFont="1" applyFill="1" applyBorder="1"/>
    <xf numFmtId="167" fontId="0" fillId="0" borderId="1" xfId="0" applyNumberFormat="1" applyFill="1" applyBorder="1"/>
    <xf numFmtId="167" fontId="0" fillId="0" borderId="6" xfId="0" applyNumberFormat="1" applyFill="1" applyBorder="1"/>
    <xf numFmtId="166" fontId="0" fillId="0" borderId="1" xfId="1" applyNumberFormat="1" applyFont="1" applyBorder="1"/>
    <xf numFmtId="9" fontId="0" fillId="0" borderId="1" xfId="2" applyFont="1" applyBorder="1" applyAlignment="1">
      <alignment horizontal="center"/>
    </xf>
    <xf numFmtId="9" fontId="0" fillId="0" borderId="6" xfId="2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0" fillId="0" borderId="11" xfId="0" applyFill="1" applyBorder="1"/>
    <xf numFmtId="0" fontId="4" fillId="0" borderId="5" xfId="0" applyFont="1" applyFill="1" applyBorder="1"/>
    <xf numFmtId="0" fontId="0" fillId="0" borderId="0" xfId="0" applyAlignment="1">
      <alignment horizontal="center"/>
    </xf>
    <xf numFmtId="166" fontId="0" fillId="4" borderId="0" xfId="1" applyNumberFormat="1" applyFont="1" applyFill="1"/>
    <xf numFmtId="166" fontId="0" fillId="0" borderId="0" xfId="1" applyNumberFormat="1" applyFont="1" applyAlignment="1">
      <alignment wrapText="1"/>
    </xf>
    <xf numFmtId="166" fontId="0" fillId="0" borderId="0" xfId="1" applyNumberFormat="1" applyFont="1" applyFill="1" applyAlignment="1">
      <alignment wrapText="1"/>
    </xf>
    <xf numFmtId="166" fontId="3" fillId="3" borderId="0" xfId="1" applyNumberFormat="1" applyFont="1" applyFill="1" applyAlignment="1">
      <alignment wrapText="1"/>
    </xf>
    <xf numFmtId="166" fontId="3" fillId="2" borderId="0" xfId="1" applyNumberFormat="1" applyFont="1" applyFill="1" applyAlignment="1">
      <alignment wrapText="1"/>
    </xf>
    <xf numFmtId="166" fontId="0" fillId="0" borderId="0" xfId="1" applyNumberFormat="1" applyFont="1" applyAlignment="1">
      <alignment horizontal="center" wrapText="1"/>
    </xf>
    <xf numFmtId="166" fontId="3" fillId="3" borderId="0" xfId="1" applyNumberFormat="1" applyFont="1" applyFill="1" applyAlignment="1">
      <alignment horizontal="center" wrapText="1"/>
    </xf>
    <xf numFmtId="166" fontId="0" fillId="0" borderId="0" xfId="0" applyNumberFormat="1" applyAlignment="1">
      <alignment wrapText="1"/>
    </xf>
    <xf numFmtId="166" fontId="2" fillId="0" borderId="0" xfId="1" applyNumberFormat="1" applyFont="1"/>
    <xf numFmtId="0" fontId="0" fillId="0" borderId="1" xfId="0" applyBorder="1" applyAlignment="1">
      <alignment wrapText="1"/>
    </xf>
    <xf numFmtId="166" fontId="0" fillId="0" borderId="1" xfId="0" applyNumberFormat="1" applyBorder="1"/>
    <xf numFmtId="0" fontId="2" fillId="0" borderId="1" xfId="0" applyFont="1" applyBorder="1"/>
    <xf numFmtId="0" fontId="0" fillId="0" borderId="1" xfId="0" applyBorder="1"/>
    <xf numFmtId="168" fontId="0" fillId="0" borderId="1" xfId="2" applyNumberFormat="1" applyFont="1" applyBorder="1"/>
    <xf numFmtId="0" fontId="0" fillId="0" borderId="1" xfId="0" applyFill="1" applyBorder="1"/>
    <xf numFmtId="9" fontId="0" fillId="0" borderId="1" xfId="2" applyFont="1" applyBorder="1"/>
    <xf numFmtId="166" fontId="0" fillId="0" borderId="0" xfId="0" applyNumberFormat="1" applyFill="1" applyBorder="1"/>
    <xf numFmtId="0" fontId="2" fillId="0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/>
    <xf numFmtId="166" fontId="7" fillId="3" borderId="8" xfId="0" applyNumberFormat="1" applyFont="1" applyFill="1" applyBorder="1"/>
    <xf numFmtId="9" fontId="7" fillId="3" borderId="9" xfId="2" applyNumberFormat="1" applyFont="1" applyFill="1" applyBorder="1" applyAlignment="1">
      <alignment horizontal="center"/>
    </xf>
    <xf numFmtId="0" fontId="2" fillId="7" borderId="5" xfId="0" applyFont="1" applyFill="1" applyBorder="1"/>
    <xf numFmtId="167" fontId="0" fillId="0" borderId="0" xfId="0" applyNumberFormat="1" applyFill="1" applyBorder="1"/>
    <xf numFmtId="0" fontId="0" fillId="0" borderId="0" xfId="0" applyBorder="1"/>
    <xf numFmtId="166" fontId="0" fillId="0" borderId="0" xfId="1" applyNumberFormat="1" applyFont="1" applyBorder="1"/>
    <xf numFmtId="0" fontId="4" fillId="0" borderId="1" xfId="0" applyFont="1" applyFill="1" applyBorder="1" applyAlignment="1">
      <alignment wrapText="1"/>
    </xf>
    <xf numFmtId="167" fontId="4" fillId="0" borderId="1" xfId="0" applyNumberFormat="1" applyFont="1" applyFill="1" applyBorder="1" applyAlignment="1">
      <alignment wrapText="1"/>
    </xf>
    <xf numFmtId="167" fontId="0" fillId="0" borderId="1" xfId="0" applyNumberFormat="1" applyFill="1" applyBorder="1" applyAlignment="1">
      <alignment wrapText="1"/>
    </xf>
    <xf numFmtId="166" fontId="0" fillId="0" borderId="1" xfId="1" applyNumberFormat="1" applyFont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167" fontId="3" fillId="6" borderId="1" xfId="0" applyNumberFormat="1" applyFont="1" applyFill="1" applyBorder="1" applyAlignment="1">
      <alignment wrapText="1"/>
    </xf>
    <xf numFmtId="43" fontId="3" fillId="6" borderId="1" xfId="0" applyNumberFormat="1" applyFont="1" applyFill="1" applyBorder="1" applyAlignment="1">
      <alignment wrapText="1"/>
    </xf>
    <xf numFmtId="0" fontId="7" fillId="6" borderId="1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wrapText="1"/>
    </xf>
    <xf numFmtId="9" fontId="0" fillId="9" borderId="6" xfId="2" applyFont="1" applyFill="1" applyBorder="1" applyAlignment="1">
      <alignment wrapText="1"/>
    </xf>
    <xf numFmtId="9" fontId="0" fillId="0" borderId="6" xfId="2" applyFont="1" applyBorder="1" applyAlignment="1">
      <alignment wrapText="1"/>
    </xf>
    <xf numFmtId="9" fontId="0" fillId="0" borderId="6" xfId="2" applyFont="1" applyFill="1" applyBorder="1" applyAlignment="1">
      <alignment wrapText="1"/>
    </xf>
    <xf numFmtId="0" fontId="7" fillId="6" borderId="5" xfId="0" applyFont="1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167" fontId="4" fillId="0" borderId="8" xfId="0" applyNumberFormat="1" applyFont="1" applyFill="1" applyBorder="1" applyAlignment="1">
      <alignment wrapText="1"/>
    </xf>
    <xf numFmtId="167" fontId="0" fillId="0" borderId="8" xfId="0" applyNumberFormat="1" applyFill="1" applyBorder="1" applyAlignment="1">
      <alignment wrapText="1"/>
    </xf>
    <xf numFmtId="166" fontId="0" fillId="0" borderId="8" xfId="1" applyNumberFormat="1" applyFont="1" applyBorder="1" applyAlignment="1">
      <alignment wrapText="1"/>
    </xf>
    <xf numFmtId="9" fontId="0" fillId="9" borderId="9" xfId="2" applyFont="1" applyFill="1" applyBorder="1" applyAlignment="1">
      <alignment wrapText="1"/>
    </xf>
    <xf numFmtId="169" fontId="0" fillId="0" borderId="1" xfId="4" applyNumberFormat="1" applyFont="1" applyBorder="1"/>
    <xf numFmtId="0" fontId="0" fillId="10" borderId="1" xfId="0" applyFill="1" applyBorder="1"/>
    <xf numFmtId="0" fontId="0" fillId="9" borderId="1" xfId="0" applyFill="1" applyBorder="1"/>
    <xf numFmtId="165" fontId="0" fillId="0" borderId="0" xfId="1" applyFont="1"/>
    <xf numFmtId="0" fontId="2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4" fillId="0" borderId="1" xfId="0" applyFont="1" applyFill="1" applyBorder="1"/>
    <xf numFmtId="9" fontId="0" fillId="0" borderId="1" xfId="2" applyFont="1" applyFill="1" applyBorder="1"/>
    <xf numFmtId="0" fontId="7" fillId="6" borderId="1" xfId="0" applyFont="1" applyFill="1" applyBorder="1"/>
    <xf numFmtId="0" fontId="3" fillId="6" borderId="1" xfId="0" applyFont="1" applyFill="1" applyBorder="1"/>
    <xf numFmtId="167" fontId="3" fillId="6" borderId="1" xfId="0" applyNumberFormat="1" applyFont="1" applyFill="1" applyBorder="1"/>
    <xf numFmtId="43" fontId="3" fillId="6" borderId="1" xfId="0" applyNumberFormat="1" applyFont="1" applyFill="1" applyBorder="1"/>
    <xf numFmtId="9" fontId="3" fillId="6" borderId="1" xfId="2" applyFont="1" applyFill="1" applyBorder="1"/>
    <xf numFmtId="0" fontId="0" fillId="0" borderId="0" xfId="0" applyFill="1" applyAlignment="1">
      <alignment horizontal="center"/>
    </xf>
    <xf numFmtId="166" fontId="0" fillId="0" borderId="0" xfId="1" applyNumberFormat="1" applyFont="1" applyAlignment="1">
      <alignment horizontal="center"/>
    </xf>
    <xf numFmtId="166" fontId="0" fillId="0" borderId="0" xfId="1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wrapText="1"/>
    </xf>
  </cellXfs>
  <cellStyles count="5">
    <cellStyle name="Millares" xfId="1" builtinId="3"/>
    <cellStyle name="Moneda" xfId="4" builtinId="4"/>
    <cellStyle name="Normal" xfId="0" builtinId="0"/>
    <cellStyle name="Normal 11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hartsheet" Target="chartsheets/sheet3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'MUNICIPIOS G'!$C$2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'MUNICIPIOS G'!$B$3:$B$120</c:f>
              <c:strCache>
                <c:ptCount val="117"/>
                <c:pt idx="1">
                  <c:v>Chocontá</c:v>
                </c:pt>
                <c:pt idx="2">
                  <c:v>Macheta</c:v>
                </c:pt>
                <c:pt idx="3">
                  <c:v>Manta</c:v>
                </c:pt>
                <c:pt idx="4">
                  <c:v>Sesquilé</c:v>
                </c:pt>
                <c:pt idx="5">
                  <c:v>Suesca</c:v>
                </c:pt>
                <c:pt idx="6">
                  <c:v>Tibirita</c:v>
                </c:pt>
                <c:pt idx="7">
                  <c:v>Villapinzón</c:v>
                </c:pt>
                <c:pt idx="8">
                  <c:v>Agua de Dios</c:v>
                </c:pt>
                <c:pt idx="9">
                  <c:v>Girardot</c:v>
                </c:pt>
                <c:pt idx="10">
                  <c:v>Guataquí</c:v>
                </c:pt>
                <c:pt idx="11">
                  <c:v>Jerusalén</c:v>
                </c:pt>
                <c:pt idx="12">
                  <c:v>Nariño</c:v>
                </c:pt>
                <c:pt idx="13">
                  <c:v>Nilo</c:v>
                </c:pt>
                <c:pt idx="14">
                  <c:v>Ricaurte</c:v>
                </c:pt>
                <c:pt idx="15">
                  <c:v>Tocaima</c:v>
                </c:pt>
                <c:pt idx="16">
                  <c:v>Caparrapí</c:v>
                </c:pt>
                <c:pt idx="17">
                  <c:v>Guaduas</c:v>
                </c:pt>
                <c:pt idx="18">
                  <c:v>Puerto Salgar</c:v>
                </c:pt>
                <c:pt idx="19">
                  <c:v>Albán</c:v>
                </c:pt>
                <c:pt idx="20">
                  <c:v>La Peña</c:v>
                </c:pt>
                <c:pt idx="21">
                  <c:v>La Vega</c:v>
                </c:pt>
                <c:pt idx="22">
                  <c:v>Nimaima</c:v>
                </c:pt>
                <c:pt idx="23">
                  <c:v>Nocaima</c:v>
                </c:pt>
                <c:pt idx="24">
                  <c:v>Quebradanegra</c:v>
                </c:pt>
                <c:pt idx="25">
                  <c:v>San Francisco</c:v>
                </c:pt>
                <c:pt idx="26">
                  <c:v>Sasaima</c:v>
                </c:pt>
                <c:pt idx="27">
                  <c:v>Supatá</c:v>
                </c:pt>
                <c:pt idx="28">
                  <c:v>Útica</c:v>
                </c:pt>
                <c:pt idx="29">
                  <c:v>Vergara</c:v>
                </c:pt>
                <c:pt idx="30">
                  <c:v>Villeta</c:v>
                </c:pt>
                <c:pt idx="31">
                  <c:v>Gachala</c:v>
                </c:pt>
                <c:pt idx="32">
                  <c:v>Gachetá</c:v>
                </c:pt>
                <c:pt idx="33">
                  <c:v>Gama</c:v>
                </c:pt>
                <c:pt idx="34">
                  <c:v>Guasca</c:v>
                </c:pt>
                <c:pt idx="35">
                  <c:v>Guatavita</c:v>
                </c:pt>
                <c:pt idx="36">
                  <c:v>Junín</c:v>
                </c:pt>
                <c:pt idx="37">
                  <c:v>La Calera</c:v>
                </c:pt>
                <c:pt idx="38">
                  <c:v>Ubalá</c:v>
                </c:pt>
                <c:pt idx="39">
                  <c:v>Beltrán</c:v>
                </c:pt>
                <c:pt idx="40">
                  <c:v>Bituima</c:v>
                </c:pt>
                <c:pt idx="41">
                  <c:v>Chaguaní</c:v>
                </c:pt>
                <c:pt idx="42">
                  <c:v>Guayabal de Siquima</c:v>
                </c:pt>
                <c:pt idx="43">
                  <c:v>Pulí</c:v>
                </c:pt>
                <c:pt idx="44">
                  <c:v>San Juan de Río Seco</c:v>
                </c:pt>
                <c:pt idx="45">
                  <c:v>Vianí</c:v>
                </c:pt>
                <c:pt idx="46">
                  <c:v>Medina</c:v>
                </c:pt>
                <c:pt idx="47">
                  <c:v>Paratebueno</c:v>
                </c:pt>
                <c:pt idx="48">
                  <c:v>Caqueza</c:v>
                </c:pt>
                <c:pt idx="49">
                  <c:v>Chipaque</c:v>
                </c:pt>
                <c:pt idx="50">
                  <c:v>Choachí</c:v>
                </c:pt>
                <c:pt idx="51">
                  <c:v>Fomeque</c:v>
                </c:pt>
                <c:pt idx="52">
                  <c:v>Fosca</c:v>
                </c:pt>
                <c:pt idx="53">
                  <c:v>Guayabetal</c:v>
                </c:pt>
                <c:pt idx="54">
                  <c:v>Gutíerrez</c:v>
                </c:pt>
                <c:pt idx="55">
                  <c:v>Quetame</c:v>
                </c:pt>
                <c:pt idx="56">
                  <c:v>Ubaque</c:v>
                </c:pt>
                <c:pt idx="57">
                  <c:v>Une</c:v>
                </c:pt>
                <c:pt idx="58">
                  <c:v>El Peñón</c:v>
                </c:pt>
                <c:pt idx="59">
                  <c:v>La Palma</c:v>
                </c:pt>
                <c:pt idx="60">
                  <c:v>Pacho</c:v>
                </c:pt>
                <c:pt idx="61">
                  <c:v>Paime</c:v>
                </c:pt>
                <c:pt idx="62">
                  <c:v>San Cayetano</c:v>
                </c:pt>
                <c:pt idx="63">
                  <c:v>Topaipí</c:v>
                </c:pt>
                <c:pt idx="64">
                  <c:v>Villagómez</c:v>
                </c:pt>
                <c:pt idx="65">
                  <c:v>Yacopí</c:v>
                </c:pt>
                <c:pt idx="66">
                  <c:v>Cajicá</c:v>
                </c:pt>
                <c:pt idx="67">
                  <c:v>Chía</c:v>
                </c:pt>
                <c:pt idx="68">
                  <c:v>Cogua</c:v>
                </c:pt>
                <c:pt idx="69">
                  <c:v>Cota</c:v>
                </c:pt>
                <c:pt idx="70">
                  <c:v>Gachancipá</c:v>
                </c:pt>
                <c:pt idx="71">
                  <c:v>Nemocón</c:v>
                </c:pt>
                <c:pt idx="72">
                  <c:v>Sopó</c:v>
                </c:pt>
                <c:pt idx="73">
                  <c:v>Tabio</c:v>
                </c:pt>
                <c:pt idx="74">
                  <c:v>Tenjo</c:v>
                </c:pt>
                <c:pt idx="75">
                  <c:v>Tocancipá</c:v>
                </c:pt>
                <c:pt idx="76">
                  <c:v>Bojacá</c:v>
                </c:pt>
                <c:pt idx="77">
                  <c:v>El Rosal</c:v>
                </c:pt>
                <c:pt idx="78">
                  <c:v>Facatativá</c:v>
                </c:pt>
                <c:pt idx="79">
                  <c:v>Funza</c:v>
                </c:pt>
                <c:pt idx="80">
                  <c:v>Madrid</c:v>
                </c:pt>
                <c:pt idx="81">
                  <c:v>Mosquera</c:v>
                </c:pt>
                <c:pt idx="82">
                  <c:v>Subachoque</c:v>
                </c:pt>
                <c:pt idx="83">
                  <c:v>Zipacón</c:v>
                </c:pt>
                <c:pt idx="84">
                  <c:v>Zipaquirá</c:v>
                </c:pt>
                <c:pt idx="85">
                  <c:v>Sibaté</c:v>
                </c:pt>
                <c:pt idx="86">
                  <c:v>Soacha</c:v>
                </c:pt>
                <c:pt idx="87">
                  <c:v>Arbeláez</c:v>
                </c:pt>
                <c:pt idx="88">
                  <c:v>Cabrera</c:v>
                </c:pt>
                <c:pt idx="89">
                  <c:v>Fusagasugá</c:v>
                </c:pt>
                <c:pt idx="90">
                  <c:v>Granada</c:v>
                </c:pt>
                <c:pt idx="91">
                  <c:v>Pandi</c:v>
                </c:pt>
                <c:pt idx="92">
                  <c:v>Pasca</c:v>
                </c:pt>
                <c:pt idx="93">
                  <c:v>San Bernardo</c:v>
                </c:pt>
                <c:pt idx="94">
                  <c:v>Silvania</c:v>
                </c:pt>
                <c:pt idx="95">
                  <c:v>Tibacuy</c:v>
                </c:pt>
                <c:pt idx="96">
                  <c:v>Venecia</c:v>
                </c:pt>
                <c:pt idx="97">
                  <c:v>Anapoima</c:v>
                </c:pt>
                <c:pt idx="98">
                  <c:v>Anolaima</c:v>
                </c:pt>
                <c:pt idx="99">
                  <c:v>Apulo</c:v>
                </c:pt>
                <c:pt idx="100">
                  <c:v>Cachipay</c:v>
                </c:pt>
                <c:pt idx="101">
                  <c:v>El Colegio</c:v>
                </c:pt>
                <c:pt idx="102">
                  <c:v>La Mesa</c:v>
                </c:pt>
                <c:pt idx="103">
                  <c:v>Quipile</c:v>
                </c:pt>
                <c:pt idx="104">
                  <c:v>San Antonio del Tequendama</c:v>
                </c:pt>
                <c:pt idx="105">
                  <c:v>Tena</c:v>
                </c:pt>
                <c:pt idx="106">
                  <c:v>Viotá</c:v>
                </c:pt>
                <c:pt idx="107">
                  <c:v>Carmen de Carupa</c:v>
                </c:pt>
                <c:pt idx="108">
                  <c:v>Cucunubá</c:v>
                </c:pt>
                <c:pt idx="109">
                  <c:v>Fúquene</c:v>
                </c:pt>
                <c:pt idx="110">
                  <c:v>Guachetá</c:v>
                </c:pt>
                <c:pt idx="111">
                  <c:v>Lenguazaque</c:v>
                </c:pt>
                <c:pt idx="112">
                  <c:v>Simijaca</c:v>
                </c:pt>
                <c:pt idx="113">
                  <c:v>Susa</c:v>
                </c:pt>
                <c:pt idx="114">
                  <c:v>Sutatausa</c:v>
                </c:pt>
                <c:pt idx="115">
                  <c:v>Tausa</c:v>
                </c:pt>
                <c:pt idx="116">
                  <c:v>Villa de San Diego de Ubate</c:v>
                </c:pt>
              </c:strCache>
            </c:strRef>
          </c:cat>
          <c:val>
            <c:numRef>
              <c:f>'MUNICIPIOS G'!$C$3:$C$120</c:f>
            </c:numRef>
          </c:val>
        </c:ser>
        <c:ser>
          <c:idx val="1"/>
          <c:order val="1"/>
          <c:tx>
            <c:strRef>
              <c:f>'MUNICIPIOS G'!$D$2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'MUNICIPIOS G'!$B$3:$B$120</c:f>
              <c:strCache>
                <c:ptCount val="117"/>
                <c:pt idx="1">
                  <c:v>Chocontá</c:v>
                </c:pt>
                <c:pt idx="2">
                  <c:v>Macheta</c:v>
                </c:pt>
                <c:pt idx="3">
                  <c:v>Manta</c:v>
                </c:pt>
                <c:pt idx="4">
                  <c:v>Sesquilé</c:v>
                </c:pt>
                <c:pt idx="5">
                  <c:v>Suesca</c:v>
                </c:pt>
                <c:pt idx="6">
                  <c:v>Tibirita</c:v>
                </c:pt>
                <c:pt idx="7">
                  <c:v>Villapinzón</c:v>
                </c:pt>
                <c:pt idx="8">
                  <c:v>Agua de Dios</c:v>
                </c:pt>
                <c:pt idx="9">
                  <c:v>Girardot</c:v>
                </c:pt>
                <c:pt idx="10">
                  <c:v>Guataquí</c:v>
                </c:pt>
                <c:pt idx="11">
                  <c:v>Jerusalén</c:v>
                </c:pt>
                <c:pt idx="12">
                  <c:v>Nariño</c:v>
                </c:pt>
                <c:pt idx="13">
                  <c:v>Nilo</c:v>
                </c:pt>
                <c:pt idx="14">
                  <c:v>Ricaurte</c:v>
                </c:pt>
                <c:pt idx="15">
                  <c:v>Tocaima</c:v>
                </c:pt>
                <c:pt idx="16">
                  <c:v>Caparrapí</c:v>
                </c:pt>
                <c:pt idx="17">
                  <c:v>Guaduas</c:v>
                </c:pt>
                <c:pt idx="18">
                  <c:v>Puerto Salgar</c:v>
                </c:pt>
                <c:pt idx="19">
                  <c:v>Albán</c:v>
                </c:pt>
                <c:pt idx="20">
                  <c:v>La Peña</c:v>
                </c:pt>
                <c:pt idx="21">
                  <c:v>La Vega</c:v>
                </c:pt>
                <c:pt idx="22">
                  <c:v>Nimaima</c:v>
                </c:pt>
                <c:pt idx="23">
                  <c:v>Nocaima</c:v>
                </c:pt>
                <c:pt idx="24">
                  <c:v>Quebradanegra</c:v>
                </c:pt>
                <c:pt idx="25">
                  <c:v>San Francisco</c:v>
                </c:pt>
                <c:pt idx="26">
                  <c:v>Sasaima</c:v>
                </c:pt>
                <c:pt idx="27">
                  <c:v>Supatá</c:v>
                </c:pt>
                <c:pt idx="28">
                  <c:v>Útica</c:v>
                </c:pt>
                <c:pt idx="29">
                  <c:v>Vergara</c:v>
                </c:pt>
                <c:pt idx="30">
                  <c:v>Villeta</c:v>
                </c:pt>
                <c:pt idx="31">
                  <c:v>Gachala</c:v>
                </c:pt>
                <c:pt idx="32">
                  <c:v>Gachetá</c:v>
                </c:pt>
                <c:pt idx="33">
                  <c:v>Gama</c:v>
                </c:pt>
                <c:pt idx="34">
                  <c:v>Guasca</c:v>
                </c:pt>
                <c:pt idx="35">
                  <c:v>Guatavita</c:v>
                </c:pt>
                <c:pt idx="36">
                  <c:v>Junín</c:v>
                </c:pt>
                <c:pt idx="37">
                  <c:v>La Calera</c:v>
                </c:pt>
                <c:pt idx="38">
                  <c:v>Ubalá</c:v>
                </c:pt>
                <c:pt idx="39">
                  <c:v>Beltrán</c:v>
                </c:pt>
                <c:pt idx="40">
                  <c:v>Bituima</c:v>
                </c:pt>
                <c:pt idx="41">
                  <c:v>Chaguaní</c:v>
                </c:pt>
                <c:pt idx="42">
                  <c:v>Guayabal de Siquima</c:v>
                </c:pt>
                <c:pt idx="43">
                  <c:v>Pulí</c:v>
                </c:pt>
                <c:pt idx="44">
                  <c:v>San Juan de Río Seco</c:v>
                </c:pt>
                <c:pt idx="45">
                  <c:v>Vianí</c:v>
                </c:pt>
                <c:pt idx="46">
                  <c:v>Medina</c:v>
                </c:pt>
                <c:pt idx="47">
                  <c:v>Paratebueno</c:v>
                </c:pt>
                <c:pt idx="48">
                  <c:v>Caqueza</c:v>
                </c:pt>
                <c:pt idx="49">
                  <c:v>Chipaque</c:v>
                </c:pt>
                <c:pt idx="50">
                  <c:v>Choachí</c:v>
                </c:pt>
                <c:pt idx="51">
                  <c:v>Fomeque</c:v>
                </c:pt>
                <c:pt idx="52">
                  <c:v>Fosca</c:v>
                </c:pt>
                <c:pt idx="53">
                  <c:v>Guayabetal</c:v>
                </c:pt>
                <c:pt idx="54">
                  <c:v>Gutíerrez</c:v>
                </c:pt>
                <c:pt idx="55">
                  <c:v>Quetame</c:v>
                </c:pt>
                <c:pt idx="56">
                  <c:v>Ubaque</c:v>
                </c:pt>
                <c:pt idx="57">
                  <c:v>Une</c:v>
                </c:pt>
                <c:pt idx="58">
                  <c:v>El Peñón</c:v>
                </c:pt>
                <c:pt idx="59">
                  <c:v>La Palma</c:v>
                </c:pt>
                <c:pt idx="60">
                  <c:v>Pacho</c:v>
                </c:pt>
                <c:pt idx="61">
                  <c:v>Paime</c:v>
                </c:pt>
                <c:pt idx="62">
                  <c:v>San Cayetano</c:v>
                </c:pt>
                <c:pt idx="63">
                  <c:v>Topaipí</c:v>
                </c:pt>
                <c:pt idx="64">
                  <c:v>Villagómez</c:v>
                </c:pt>
                <c:pt idx="65">
                  <c:v>Yacopí</c:v>
                </c:pt>
                <c:pt idx="66">
                  <c:v>Cajicá</c:v>
                </c:pt>
                <c:pt idx="67">
                  <c:v>Chía</c:v>
                </c:pt>
                <c:pt idx="68">
                  <c:v>Cogua</c:v>
                </c:pt>
                <c:pt idx="69">
                  <c:v>Cota</c:v>
                </c:pt>
                <c:pt idx="70">
                  <c:v>Gachancipá</c:v>
                </c:pt>
                <c:pt idx="71">
                  <c:v>Nemocón</c:v>
                </c:pt>
                <c:pt idx="72">
                  <c:v>Sopó</c:v>
                </c:pt>
                <c:pt idx="73">
                  <c:v>Tabio</c:v>
                </c:pt>
                <c:pt idx="74">
                  <c:v>Tenjo</c:v>
                </c:pt>
                <c:pt idx="75">
                  <c:v>Tocancipá</c:v>
                </c:pt>
                <c:pt idx="76">
                  <c:v>Bojacá</c:v>
                </c:pt>
                <c:pt idx="77">
                  <c:v>El Rosal</c:v>
                </c:pt>
                <c:pt idx="78">
                  <c:v>Facatativá</c:v>
                </c:pt>
                <c:pt idx="79">
                  <c:v>Funza</c:v>
                </c:pt>
                <c:pt idx="80">
                  <c:v>Madrid</c:v>
                </c:pt>
                <c:pt idx="81">
                  <c:v>Mosquera</c:v>
                </c:pt>
                <c:pt idx="82">
                  <c:v>Subachoque</c:v>
                </c:pt>
                <c:pt idx="83">
                  <c:v>Zipacón</c:v>
                </c:pt>
                <c:pt idx="84">
                  <c:v>Zipaquirá</c:v>
                </c:pt>
                <c:pt idx="85">
                  <c:v>Sibaté</c:v>
                </c:pt>
                <c:pt idx="86">
                  <c:v>Soacha</c:v>
                </c:pt>
                <c:pt idx="87">
                  <c:v>Arbeláez</c:v>
                </c:pt>
                <c:pt idx="88">
                  <c:v>Cabrera</c:v>
                </c:pt>
                <c:pt idx="89">
                  <c:v>Fusagasugá</c:v>
                </c:pt>
                <c:pt idx="90">
                  <c:v>Granada</c:v>
                </c:pt>
                <c:pt idx="91">
                  <c:v>Pandi</c:v>
                </c:pt>
                <c:pt idx="92">
                  <c:v>Pasca</c:v>
                </c:pt>
                <c:pt idx="93">
                  <c:v>San Bernardo</c:v>
                </c:pt>
                <c:pt idx="94">
                  <c:v>Silvania</c:v>
                </c:pt>
                <c:pt idx="95">
                  <c:v>Tibacuy</c:v>
                </c:pt>
                <c:pt idx="96">
                  <c:v>Venecia</c:v>
                </c:pt>
                <c:pt idx="97">
                  <c:v>Anapoima</c:v>
                </c:pt>
                <c:pt idx="98">
                  <c:v>Anolaima</c:v>
                </c:pt>
                <c:pt idx="99">
                  <c:v>Apulo</c:v>
                </c:pt>
                <c:pt idx="100">
                  <c:v>Cachipay</c:v>
                </c:pt>
                <c:pt idx="101">
                  <c:v>El Colegio</c:v>
                </c:pt>
                <c:pt idx="102">
                  <c:v>La Mesa</c:v>
                </c:pt>
                <c:pt idx="103">
                  <c:v>Quipile</c:v>
                </c:pt>
                <c:pt idx="104">
                  <c:v>San Antonio del Tequendama</c:v>
                </c:pt>
                <c:pt idx="105">
                  <c:v>Tena</c:v>
                </c:pt>
                <c:pt idx="106">
                  <c:v>Viotá</c:v>
                </c:pt>
                <c:pt idx="107">
                  <c:v>Carmen de Carupa</c:v>
                </c:pt>
                <c:pt idx="108">
                  <c:v>Cucunubá</c:v>
                </c:pt>
                <c:pt idx="109">
                  <c:v>Fúquene</c:v>
                </c:pt>
                <c:pt idx="110">
                  <c:v>Guachetá</c:v>
                </c:pt>
                <c:pt idx="111">
                  <c:v>Lenguazaque</c:v>
                </c:pt>
                <c:pt idx="112">
                  <c:v>Simijaca</c:v>
                </c:pt>
                <c:pt idx="113">
                  <c:v>Susa</c:v>
                </c:pt>
                <c:pt idx="114">
                  <c:v>Sutatausa</c:v>
                </c:pt>
                <c:pt idx="115">
                  <c:v>Tausa</c:v>
                </c:pt>
                <c:pt idx="116">
                  <c:v>Villa de San Diego de Ubate</c:v>
                </c:pt>
              </c:strCache>
            </c:strRef>
          </c:cat>
          <c:val>
            <c:numRef>
              <c:f>'MUNICIPIOS G'!$D$3:$D$120</c:f>
            </c:numRef>
          </c:val>
        </c:ser>
        <c:ser>
          <c:idx val="2"/>
          <c:order val="2"/>
          <c:tx>
            <c:strRef>
              <c:f>'MUNICIPIOS G'!$E$2</c:f>
              <c:strCache>
                <c:ptCount val="1"/>
                <c:pt idx="0">
                  <c:v>2013-2014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'MUNICIPIOS G'!$B$3:$B$120</c:f>
              <c:strCache>
                <c:ptCount val="117"/>
                <c:pt idx="1">
                  <c:v>Chocontá</c:v>
                </c:pt>
                <c:pt idx="2">
                  <c:v>Macheta</c:v>
                </c:pt>
                <c:pt idx="3">
                  <c:v>Manta</c:v>
                </c:pt>
                <c:pt idx="4">
                  <c:v>Sesquilé</c:v>
                </c:pt>
                <c:pt idx="5">
                  <c:v>Suesca</c:v>
                </c:pt>
                <c:pt idx="6">
                  <c:v>Tibirita</c:v>
                </c:pt>
                <c:pt idx="7">
                  <c:v>Villapinzón</c:v>
                </c:pt>
                <c:pt idx="8">
                  <c:v>Agua de Dios</c:v>
                </c:pt>
                <c:pt idx="9">
                  <c:v>Girardot</c:v>
                </c:pt>
                <c:pt idx="10">
                  <c:v>Guataquí</c:v>
                </c:pt>
                <c:pt idx="11">
                  <c:v>Jerusalén</c:v>
                </c:pt>
                <c:pt idx="12">
                  <c:v>Nariño</c:v>
                </c:pt>
                <c:pt idx="13">
                  <c:v>Nilo</c:v>
                </c:pt>
                <c:pt idx="14">
                  <c:v>Ricaurte</c:v>
                </c:pt>
                <c:pt idx="15">
                  <c:v>Tocaima</c:v>
                </c:pt>
                <c:pt idx="16">
                  <c:v>Caparrapí</c:v>
                </c:pt>
                <c:pt idx="17">
                  <c:v>Guaduas</c:v>
                </c:pt>
                <c:pt idx="18">
                  <c:v>Puerto Salgar</c:v>
                </c:pt>
                <c:pt idx="19">
                  <c:v>Albán</c:v>
                </c:pt>
                <c:pt idx="20">
                  <c:v>La Peña</c:v>
                </c:pt>
                <c:pt idx="21">
                  <c:v>La Vega</c:v>
                </c:pt>
                <c:pt idx="22">
                  <c:v>Nimaima</c:v>
                </c:pt>
                <c:pt idx="23">
                  <c:v>Nocaima</c:v>
                </c:pt>
                <c:pt idx="24">
                  <c:v>Quebradanegra</c:v>
                </c:pt>
                <c:pt idx="25">
                  <c:v>San Francisco</c:v>
                </c:pt>
                <c:pt idx="26">
                  <c:v>Sasaima</c:v>
                </c:pt>
                <c:pt idx="27">
                  <c:v>Supatá</c:v>
                </c:pt>
                <c:pt idx="28">
                  <c:v>Útica</c:v>
                </c:pt>
                <c:pt idx="29">
                  <c:v>Vergara</c:v>
                </c:pt>
                <c:pt idx="30">
                  <c:v>Villeta</c:v>
                </c:pt>
                <c:pt idx="31">
                  <c:v>Gachala</c:v>
                </c:pt>
                <c:pt idx="32">
                  <c:v>Gachetá</c:v>
                </c:pt>
                <c:pt idx="33">
                  <c:v>Gama</c:v>
                </c:pt>
                <c:pt idx="34">
                  <c:v>Guasca</c:v>
                </c:pt>
                <c:pt idx="35">
                  <c:v>Guatavita</c:v>
                </c:pt>
                <c:pt idx="36">
                  <c:v>Junín</c:v>
                </c:pt>
                <c:pt idx="37">
                  <c:v>La Calera</c:v>
                </c:pt>
                <c:pt idx="38">
                  <c:v>Ubalá</c:v>
                </c:pt>
                <c:pt idx="39">
                  <c:v>Beltrán</c:v>
                </c:pt>
                <c:pt idx="40">
                  <c:v>Bituima</c:v>
                </c:pt>
                <c:pt idx="41">
                  <c:v>Chaguaní</c:v>
                </c:pt>
                <c:pt idx="42">
                  <c:v>Guayabal de Siquima</c:v>
                </c:pt>
                <c:pt idx="43">
                  <c:v>Pulí</c:v>
                </c:pt>
                <c:pt idx="44">
                  <c:v>San Juan de Río Seco</c:v>
                </c:pt>
                <c:pt idx="45">
                  <c:v>Vianí</c:v>
                </c:pt>
                <c:pt idx="46">
                  <c:v>Medina</c:v>
                </c:pt>
                <c:pt idx="47">
                  <c:v>Paratebueno</c:v>
                </c:pt>
                <c:pt idx="48">
                  <c:v>Caqueza</c:v>
                </c:pt>
                <c:pt idx="49">
                  <c:v>Chipaque</c:v>
                </c:pt>
                <c:pt idx="50">
                  <c:v>Choachí</c:v>
                </c:pt>
                <c:pt idx="51">
                  <c:v>Fomeque</c:v>
                </c:pt>
                <c:pt idx="52">
                  <c:v>Fosca</c:v>
                </c:pt>
                <c:pt idx="53">
                  <c:v>Guayabetal</c:v>
                </c:pt>
                <c:pt idx="54">
                  <c:v>Gutíerrez</c:v>
                </c:pt>
                <c:pt idx="55">
                  <c:v>Quetame</c:v>
                </c:pt>
                <c:pt idx="56">
                  <c:v>Ubaque</c:v>
                </c:pt>
                <c:pt idx="57">
                  <c:v>Une</c:v>
                </c:pt>
                <c:pt idx="58">
                  <c:v>El Peñón</c:v>
                </c:pt>
                <c:pt idx="59">
                  <c:v>La Palma</c:v>
                </c:pt>
                <c:pt idx="60">
                  <c:v>Pacho</c:v>
                </c:pt>
                <c:pt idx="61">
                  <c:v>Paime</c:v>
                </c:pt>
                <c:pt idx="62">
                  <c:v>San Cayetano</c:v>
                </c:pt>
                <c:pt idx="63">
                  <c:v>Topaipí</c:v>
                </c:pt>
                <c:pt idx="64">
                  <c:v>Villagómez</c:v>
                </c:pt>
                <c:pt idx="65">
                  <c:v>Yacopí</c:v>
                </c:pt>
                <c:pt idx="66">
                  <c:v>Cajicá</c:v>
                </c:pt>
                <c:pt idx="67">
                  <c:v>Chía</c:v>
                </c:pt>
                <c:pt idx="68">
                  <c:v>Cogua</c:v>
                </c:pt>
                <c:pt idx="69">
                  <c:v>Cota</c:v>
                </c:pt>
                <c:pt idx="70">
                  <c:v>Gachancipá</c:v>
                </c:pt>
                <c:pt idx="71">
                  <c:v>Nemocón</c:v>
                </c:pt>
                <c:pt idx="72">
                  <c:v>Sopó</c:v>
                </c:pt>
                <c:pt idx="73">
                  <c:v>Tabio</c:v>
                </c:pt>
                <c:pt idx="74">
                  <c:v>Tenjo</c:v>
                </c:pt>
                <c:pt idx="75">
                  <c:v>Tocancipá</c:v>
                </c:pt>
                <c:pt idx="76">
                  <c:v>Bojacá</c:v>
                </c:pt>
                <c:pt idx="77">
                  <c:v>El Rosal</c:v>
                </c:pt>
                <c:pt idx="78">
                  <c:v>Facatativá</c:v>
                </c:pt>
                <c:pt idx="79">
                  <c:v>Funza</c:v>
                </c:pt>
                <c:pt idx="80">
                  <c:v>Madrid</c:v>
                </c:pt>
                <c:pt idx="81">
                  <c:v>Mosquera</c:v>
                </c:pt>
                <c:pt idx="82">
                  <c:v>Subachoque</c:v>
                </c:pt>
                <c:pt idx="83">
                  <c:v>Zipacón</c:v>
                </c:pt>
                <c:pt idx="84">
                  <c:v>Zipaquirá</c:v>
                </c:pt>
                <c:pt idx="85">
                  <c:v>Sibaté</c:v>
                </c:pt>
                <c:pt idx="86">
                  <c:v>Soacha</c:v>
                </c:pt>
                <c:pt idx="87">
                  <c:v>Arbeláez</c:v>
                </c:pt>
                <c:pt idx="88">
                  <c:v>Cabrera</c:v>
                </c:pt>
                <c:pt idx="89">
                  <c:v>Fusagasugá</c:v>
                </c:pt>
                <c:pt idx="90">
                  <c:v>Granada</c:v>
                </c:pt>
                <c:pt idx="91">
                  <c:v>Pandi</c:v>
                </c:pt>
                <c:pt idx="92">
                  <c:v>Pasca</c:v>
                </c:pt>
                <c:pt idx="93">
                  <c:v>San Bernardo</c:v>
                </c:pt>
                <c:pt idx="94">
                  <c:v>Silvania</c:v>
                </c:pt>
                <c:pt idx="95">
                  <c:v>Tibacuy</c:v>
                </c:pt>
                <c:pt idx="96">
                  <c:v>Venecia</c:v>
                </c:pt>
                <c:pt idx="97">
                  <c:v>Anapoima</c:v>
                </c:pt>
                <c:pt idx="98">
                  <c:v>Anolaima</c:v>
                </c:pt>
                <c:pt idx="99">
                  <c:v>Apulo</c:v>
                </c:pt>
                <c:pt idx="100">
                  <c:v>Cachipay</c:v>
                </c:pt>
                <c:pt idx="101">
                  <c:v>El Colegio</c:v>
                </c:pt>
                <c:pt idx="102">
                  <c:v>La Mesa</c:v>
                </c:pt>
                <c:pt idx="103">
                  <c:v>Quipile</c:v>
                </c:pt>
                <c:pt idx="104">
                  <c:v>San Antonio del Tequendama</c:v>
                </c:pt>
                <c:pt idx="105">
                  <c:v>Tena</c:v>
                </c:pt>
                <c:pt idx="106">
                  <c:v>Viotá</c:v>
                </c:pt>
                <c:pt idx="107">
                  <c:v>Carmen de Carupa</c:v>
                </c:pt>
                <c:pt idx="108">
                  <c:v>Cucunubá</c:v>
                </c:pt>
                <c:pt idx="109">
                  <c:v>Fúquene</c:v>
                </c:pt>
                <c:pt idx="110">
                  <c:v>Guachetá</c:v>
                </c:pt>
                <c:pt idx="111">
                  <c:v>Lenguazaque</c:v>
                </c:pt>
                <c:pt idx="112">
                  <c:v>Simijaca</c:v>
                </c:pt>
                <c:pt idx="113">
                  <c:v>Susa</c:v>
                </c:pt>
                <c:pt idx="114">
                  <c:v>Sutatausa</c:v>
                </c:pt>
                <c:pt idx="115">
                  <c:v>Tausa</c:v>
                </c:pt>
                <c:pt idx="116">
                  <c:v>Villa de San Diego de Ubate</c:v>
                </c:pt>
              </c:strCache>
            </c:strRef>
          </c:cat>
          <c:val>
            <c:numRef>
              <c:f>'MUNICIPIOS G'!$E$3:$E$120</c:f>
            </c:numRef>
          </c:val>
        </c:ser>
        <c:ser>
          <c:idx val="3"/>
          <c:order val="3"/>
          <c:tx>
            <c:strRef>
              <c:f>'MUNICIPIOS G'!$F$2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'MUNICIPIOS G'!$B$3:$B$120</c:f>
              <c:strCache>
                <c:ptCount val="117"/>
                <c:pt idx="1">
                  <c:v>Chocontá</c:v>
                </c:pt>
                <c:pt idx="2">
                  <c:v>Macheta</c:v>
                </c:pt>
                <c:pt idx="3">
                  <c:v>Manta</c:v>
                </c:pt>
                <c:pt idx="4">
                  <c:v>Sesquilé</c:v>
                </c:pt>
                <c:pt idx="5">
                  <c:v>Suesca</c:v>
                </c:pt>
                <c:pt idx="6">
                  <c:v>Tibirita</c:v>
                </c:pt>
                <c:pt idx="7">
                  <c:v>Villapinzón</c:v>
                </c:pt>
                <c:pt idx="8">
                  <c:v>Agua de Dios</c:v>
                </c:pt>
                <c:pt idx="9">
                  <c:v>Girardot</c:v>
                </c:pt>
                <c:pt idx="10">
                  <c:v>Guataquí</c:v>
                </c:pt>
                <c:pt idx="11">
                  <c:v>Jerusalén</c:v>
                </c:pt>
                <c:pt idx="12">
                  <c:v>Nariño</c:v>
                </c:pt>
                <c:pt idx="13">
                  <c:v>Nilo</c:v>
                </c:pt>
                <c:pt idx="14">
                  <c:v>Ricaurte</c:v>
                </c:pt>
                <c:pt idx="15">
                  <c:v>Tocaima</c:v>
                </c:pt>
                <c:pt idx="16">
                  <c:v>Caparrapí</c:v>
                </c:pt>
                <c:pt idx="17">
                  <c:v>Guaduas</c:v>
                </c:pt>
                <c:pt idx="18">
                  <c:v>Puerto Salgar</c:v>
                </c:pt>
                <c:pt idx="19">
                  <c:v>Albán</c:v>
                </c:pt>
                <c:pt idx="20">
                  <c:v>La Peña</c:v>
                </c:pt>
                <c:pt idx="21">
                  <c:v>La Vega</c:v>
                </c:pt>
                <c:pt idx="22">
                  <c:v>Nimaima</c:v>
                </c:pt>
                <c:pt idx="23">
                  <c:v>Nocaima</c:v>
                </c:pt>
                <c:pt idx="24">
                  <c:v>Quebradanegra</c:v>
                </c:pt>
                <c:pt idx="25">
                  <c:v>San Francisco</c:v>
                </c:pt>
                <c:pt idx="26">
                  <c:v>Sasaima</c:v>
                </c:pt>
                <c:pt idx="27">
                  <c:v>Supatá</c:v>
                </c:pt>
                <c:pt idx="28">
                  <c:v>Útica</c:v>
                </c:pt>
                <c:pt idx="29">
                  <c:v>Vergara</c:v>
                </c:pt>
                <c:pt idx="30">
                  <c:v>Villeta</c:v>
                </c:pt>
                <c:pt idx="31">
                  <c:v>Gachala</c:v>
                </c:pt>
                <c:pt idx="32">
                  <c:v>Gachetá</c:v>
                </c:pt>
                <c:pt idx="33">
                  <c:v>Gama</c:v>
                </c:pt>
                <c:pt idx="34">
                  <c:v>Guasca</c:v>
                </c:pt>
                <c:pt idx="35">
                  <c:v>Guatavita</c:v>
                </c:pt>
                <c:pt idx="36">
                  <c:v>Junín</c:v>
                </c:pt>
                <c:pt idx="37">
                  <c:v>La Calera</c:v>
                </c:pt>
                <c:pt idx="38">
                  <c:v>Ubalá</c:v>
                </c:pt>
                <c:pt idx="39">
                  <c:v>Beltrán</c:v>
                </c:pt>
                <c:pt idx="40">
                  <c:v>Bituima</c:v>
                </c:pt>
                <c:pt idx="41">
                  <c:v>Chaguaní</c:v>
                </c:pt>
                <c:pt idx="42">
                  <c:v>Guayabal de Siquima</c:v>
                </c:pt>
                <c:pt idx="43">
                  <c:v>Pulí</c:v>
                </c:pt>
                <c:pt idx="44">
                  <c:v>San Juan de Río Seco</c:v>
                </c:pt>
                <c:pt idx="45">
                  <c:v>Vianí</c:v>
                </c:pt>
                <c:pt idx="46">
                  <c:v>Medina</c:v>
                </c:pt>
                <c:pt idx="47">
                  <c:v>Paratebueno</c:v>
                </c:pt>
                <c:pt idx="48">
                  <c:v>Caqueza</c:v>
                </c:pt>
                <c:pt idx="49">
                  <c:v>Chipaque</c:v>
                </c:pt>
                <c:pt idx="50">
                  <c:v>Choachí</c:v>
                </c:pt>
                <c:pt idx="51">
                  <c:v>Fomeque</c:v>
                </c:pt>
                <c:pt idx="52">
                  <c:v>Fosca</c:v>
                </c:pt>
                <c:pt idx="53">
                  <c:v>Guayabetal</c:v>
                </c:pt>
                <c:pt idx="54">
                  <c:v>Gutíerrez</c:v>
                </c:pt>
                <c:pt idx="55">
                  <c:v>Quetame</c:v>
                </c:pt>
                <c:pt idx="56">
                  <c:v>Ubaque</c:v>
                </c:pt>
                <c:pt idx="57">
                  <c:v>Une</c:v>
                </c:pt>
                <c:pt idx="58">
                  <c:v>El Peñón</c:v>
                </c:pt>
                <c:pt idx="59">
                  <c:v>La Palma</c:v>
                </c:pt>
                <c:pt idx="60">
                  <c:v>Pacho</c:v>
                </c:pt>
                <c:pt idx="61">
                  <c:v>Paime</c:v>
                </c:pt>
                <c:pt idx="62">
                  <c:v>San Cayetano</c:v>
                </c:pt>
                <c:pt idx="63">
                  <c:v>Topaipí</c:v>
                </c:pt>
                <c:pt idx="64">
                  <c:v>Villagómez</c:v>
                </c:pt>
                <c:pt idx="65">
                  <c:v>Yacopí</c:v>
                </c:pt>
                <c:pt idx="66">
                  <c:v>Cajicá</c:v>
                </c:pt>
                <c:pt idx="67">
                  <c:v>Chía</c:v>
                </c:pt>
                <c:pt idx="68">
                  <c:v>Cogua</c:v>
                </c:pt>
                <c:pt idx="69">
                  <c:v>Cota</c:v>
                </c:pt>
                <c:pt idx="70">
                  <c:v>Gachancipá</c:v>
                </c:pt>
                <c:pt idx="71">
                  <c:v>Nemocón</c:v>
                </c:pt>
                <c:pt idx="72">
                  <c:v>Sopó</c:v>
                </c:pt>
                <c:pt idx="73">
                  <c:v>Tabio</c:v>
                </c:pt>
                <c:pt idx="74">
                  <c:v>Tenjo</c:v>
                </c:pt>
                <c:pt idx="75">
                  <c:v>Tocancipá</c:v>
                </c:pt>
                <c:pt idx="76">
                  <c:v>Bojacá</c:v>
                </c:pt>
                <c:pt idx="77">
                  <c:v>El Rosal</c:v>
                </c:pt>
                <c:pt idx="78">
                  <c:v>Facatativá</c:v>
                </c:pt>
                <c:pt idx="79">
                  <c:v>Funza</c:v>
                </c:pt>
                <c:pt idx="80">
                  <c:v>Madrid</c:v>
                </c:pt>
                <c:pt idx="81">
                  <c:v>Mosquera</c:v>
                </c:pt>
                <c:pt idx="82">
                  <c:v>Subachoque</c:v>
                </c:pt>
                <c:pt idx="83">
                  <c:v>Zipacón</c:v>
                </c:pt>
                <c:pt idx="84">
                  <c:v>Zipaquirá</c:v>
                </c:pt>
                <c:pt idx="85">
                  <c:v>Sibaté</c:v>
                </c:pt>
                <c:pt idx="86">
                  <c:v>Soacha</c:v>
                </c:pt>
                <c:pt idx="87">
                  <c:v>Arbeláez</c:v>
                </c:pt>
                <c:pt idx="88">
                  <c:v>Cabrera</c:v>
                </c:pt>
                <c:pt idx="89">
                  <c:v>Fusagasugá</c:v>
                </c:pt>
                <c:pt idx="90">
                  <c:v>Granada</c:v>
                </c:pt>
                <c:pt idx="91">
                  <c:v>Pandi</c:v>
                </c:pt>
                <c:pt idx="92">
                  <c:v>Pasca</c:v>
                </c:pt>
                <c:pt idx="93">
                  <c:v>San Bernardo</c:v>
                </c:pt>
                <c:pt idx="94">
                  <c:v>Silvania</c:v>
                </c:pt>
                <c:pt idx="95">
                  <c:v>Tibacuy</c:v>
                </c:pt>
                <c:pt idx="96">
                  <c:v>Venecia</c:v>
                </c:pt>
                <c:pt idx="97">
                  <c:v>Anapoima</c:v>
                </c:pt>
                <c:pt idx="98">
                  <c:v>Anolaima</c:v>
                </c:pt>
                <c:pt idx="99">
                  <c:v>Apulo</c:v>
                </c:pt>
                <c:pt idx="100">
                  <c:v>Cachipay</c:v>
                </c:pt>
                <c:pt idx="101">
                  <c:v>El Colegio</c:v>
                </c:pt>
                <c:pt idx="102">
                  <c:v>La Mesa</c:v>
                </c:pt>
                <c:pt idx="103">
                  <c:v>Quipile</c:v>
                </c:pt>
                <c:pt idx="104">
                  <c:v>San Antonio del Tequendama</c:v>
                </c:pt>
                <c:pt idx="105">
                  <c:v>Tena</c:v>
                </c:pt>
                <c:pt idx="106">
                  <c:v>Viotá</c:v>
                </c:pt>
                <c:pt idx="107">
                  <c:v>Carmen de Carupa</c:v>
                </c:pt>
                <c:pt idx="108">
                  <c:v>Cucunubá</c:v>
                </c:pt>
                <c:pt idx="109">
                  <c:v>Fúquene</c:v>
                </c:pt>
                <c:pt idx="110">
                  <c:v>Guachetá</c:v>
                </c:pt>
                <c:pt idx="111">
                  <c:v>Lenguazaque</c:v>
                </c:pt>
                <c:pt idx="112">
                  <c:v>Simijaca</c:v>
                </c:pt>
                <c:pt idx="113">
                  <c:v>Susa</c:v>
                </c:pt>
                <c:pt idx="114">
                  <c:v>Sutatausa</c:v>
                </c:pt>
                <c:pt idx="115">
                  <c:v>Tausa</c:v>
                </c:pt>
                <c:pt idx="116">
                  <c:v>Villa de San Diego de Ubate</c:v>
                </c:pt>
              </c:strCache>
            </c:strRef>
          </c:cat>
          <c:val>
            <c:numRef>
              <c:f>'MUNICIPIOS G'!$F$3:$F$120</c:f>
            </c:numRef>
          </c:val>
        </c:ser>
        <c:ser>
          <c:idx val="4"/>
          <c:order val="4"/>
          <c:tx>
            <c:strRef>
              <c:f>'MUNICIPIOS G'!$G$2</c:f>
              <c:strCache>
                <c:ptCount val="1"/>
                <c:pt idx="0">
                  <c:v>OTRAS FUENTES DE FINANCIACION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'MUNICIPIOS G'!$B$3:$B$120</c:f>
              <c:strCache>
                <c:ptCount val="117"/>
                <c:pt idx="1">
                  <c:v>Chocontá</c:v>
                </c:pt>
                <c:pt idx="2">
                  <c:v>Macheta</c:v>
                </c:pt>
                <c:pt idx="3">
                  <c:v>Manta</c:v>
                </c:pt>
                <c:pt idx="4">
                  <c:v>Sesquilé</c:v>
                </c:pt>
                <c:pt idx="5">
                  <c:v>Suesca</c:v>
                </c:pt>
                <c:pt idx="6">
                  <c:v>Tibirita</c:v>
                </c:pt>
                <c:pt idx="7">
                  <c:v>Villapinzón</c:v>
                </c:pt>
                <c:pt idx="8">
                  <c:v>Agua de Dios</c:v>
                </c:pt>
                <c:pt idx="9">
                  <c:v>Girardot</c:v>
                </c:pt>
                <c:pt idx="10">
                  <c:v>Guataquí</c:v>
                </c:pt>
                <c:pt idx="11">
                  <c:v>Jerusalén</c:v>
                </c:pt>
                <c:pt idx="12">
                  <c:v>Nariño</c:v>
                </c:pt>
                <c:pt idx="13">
                  <c:v>Nilo</c:v>
                </c:pt>
                <c:pt idx="14">
                  <c:v>Ricaurte</c:v>
                </c:pt>
                <c:pt idx="15">
                  <c:v>Tocaima</c:v>
                </c:pt>
                <c:pt idx="16">
                  <c:v>Caparrapí</c:v>
                </c:pt>
                <c:pt idx="17">
                  <c:v>Guaduas</c:v>
                </c:pt>
                <c:pt idx="18">
                  <c:v>Puerto Salgar</c:v>
                </c:pt>
                <c:pt idx="19">
                  <c:v>Albán</c:v>
                </c:pt>
                <c:pt idx="20">
                  <c:v>La Peña</c:v>
                </c:pt>
                <c:pt idx="21">
                  <c:v>La Vega</c:v>
                </c:pt>
                <c:pt idx="22">
                  <c:v>Nimaima</c:v>
                </c:pt>
                <c:pt idx="23">
                  <c:v>Nocaima</c:v>
                </c:pt>
                <c:pt idx="24">
                  <c:v>Quebradanegra</c:v>
                </c:pt>
                <c:pt idx="25">
                  <c:v>San Francisco</c:v>
                </c:pt>
                <c:pt idx="26">
                  <c:v>Sasaima</c:v>
                </c:pt>
                <c:pt idx="27">
                  <c:v>Supatá</c:v>
                </c:pt>
                <c:pt idx="28">
                  <c:v>Útica</c:v>
                </c:pt>
                <c:pt idx="29">
                  <c:v>Vergara</c:v>
                </c:pt>
                <c:pt idx="30">
                  <c:v>Villeta</c:v>
                </c:pt>
                <c:pt idx="31">
                  <c:v>Gachala</c:v>
                </c:pt>
                <c:pt idx="32">
                  <c:v>Gachetá</c:v>
                </c:pt>
                <c:pt idx="33">
                  <c:v>Gama</c:v>
                </c:pt>
                <c:pt idx="34">
                  <c:v>Guasca</c:v>
                </c:pt>
                <c:pt idx="35">
                  <c:v>Guatavita</c:v>
                </c:pt>
                <c:pt idx="36">
                  <c:v>Junín</c:v>
                </c:pt>
                <c:pt idx="37">
                  <c:v>La Calera</c:v>
                </c:pt>
                <c:pt idx="38">
                  <c:v>Ubalá</c:v>
                </c:pt>
                <c:pt idx="39">
                  <c:v>Beltrán</c:v>
                </c:pt>
                <c:pt idx="40">
                  <c:v>Bituima</c:v>
                </c:pt>
                <c:pt idx="41">
                  <c:v>Chaguaní</c:v>
                </c:pt>
                <c:pt idx="42">
                  <c:v>Guayabal de Siquima</c:v>
                </c:pt>
                <c:pt idx="43">
                  <c:v>Pulí</c:v>
                </c:pt>
                <c:pt idx="44">
                  <c:v>San Juan de Río Seco</c:v>
                </c:pt>
                <c:pt idx="45">
                  <c:v>Vianí</c:v>
                </c:pt>
                <c:pt idx="46">
                  <c:v>Medina</c:v>
                </c:pt>
                <c:pt idx="47">
                  <c:v>Paratebueno</c:v>
                </c:pt>
                <c:pt idx="48">
                  <c:v>Caqueza</c:v>
                </c:pt>
                <c:pt idx="49">
                  <c:v>Chipaque</c:v>
                </c:pt>
                <c:pt idx="50">
                  <c:v>Choachí</c:v>
                </c:pt>
                <c:pt idx="51">
                  <c:v>Fomeque</c:v>
                </c:pt>
                <c:pt idx="52">
                  <c:v>Fosca</c:v>
                </c:pt>
                <c:pt idx="53">
                  <c:v>Guayabetal</c:v>
                </c:pt>
                <c:pt idx="54">
                  <c:v>Gutíerrez</c:v>
                </c:pt>
                <c:pt idx="55">
                  <c:v>Quetame</c:v>
                </c:pt>
                <c:pt idx="56">
                  <c:v>Ubaque</c:v>
                </c:pt>
                <c:pt idx="57">
                  <c:v>Une</c:v>
                </c:pt>
                <c:pt idx="58">
                  <c:v>El Peñón</c:v>
                </c:pt>
                <c:pt idx="59">
                  <c:v>La Palma</c:v>
                </c:pt>
                <c:pt idx="60">
                  <c:v>Pacho</c:v>
                </c:pt>
                <c:pt idx="61">
                  <c:v>Paime</c:v>
                </c:pt>
                <c:pt idx="62">
                  <c:v>San Cayetano</c:v>
                </c:pt>
                <c:pt idx="63">
                  <c:v>Topaipí</c:v>
                </c:pt>
                <c:pt idx="64">
                  <c:v>Villagómez</c:v>
                </c:pt>
                <c:pt idx="65">
                  <c:v>Yacopí</c:v>
                </c:pt>
                <c:pt idx="66">
                  <c:v>Cajicá</c:v>
                </c:pt>
                <c:pt idx="67">
                  <c:v>Chía</c:v>
                </c:pt>
                <c:pt idx="68">
                  <c:v>Cogua</c:v>
                </c:pt>
                <c:pt idx="69">
                  <c:v>Cota</c:v>
                </c:pt>
                <c:pt idx="70">
                  <c:v>Gachancipá</c:v>
                </c:pt>
                <c:pt idx="71">
                  <c:v>Nemocón</c:v>
                </c:pt>
                <c:pt idx="72">
                  <c:v>Sopó</c:v>
                </c:pt>
                <c:pt idx="73">
                  <c:v>Tabio</c:v>
                </c:pt>
                <c:pt idx="74">
                  <c:v>Tenjo</c:v>
                </c:pt>
                <c:pt idx="75">
                  <c:v>Tocancipá</c:v>
                </c:pt>
                <c:pt idx="76">
                  <c:v>Bojacá</c:v>
                </c:pt>
                <c:pt idx="77">
                  <c:v>El Rosal</c:v>
                </c:pt>
                <c:pt idx="78">
                  <c:v>Facatativá</c:v>
                </c:pt>
                <c:pt idx="79">
                  <c:v>Funza</c:v>
                </c:pt>
                <c:pt idx="80">
                  <c:v>Madrid</c:v>
                </c:pt>
                <c:pt idx="81">
                  <c:v>Mosquera</c:v>
                </c:pt>
                <c:pt idx="82">
                  <c:v>Subachoque</c:v>
                </c:pt>
                <c:pt idx="83">
                  <c:v>Zipacón</c:v>
                </c:pt>
                <c:pt idx="84">
                  <c:v>Zipaquirá</c:v>
                </c:pt>
                <c:pt idx="85">
                  <c:v>Sibaté</c:v>
                </c:pt>
                <c:pt idx="86">
                  <c:v>Soacha</c:v>
                </c:pt>
                <c:pt idx="87">
                  <c:v>Arbeláez</c:v>
                </c:pt>
                <c:pt idx="88">
                  <c:v>Cabrera</c:v>
                </c:pt>
                <c:pt idx="89">
                  <c:v>Fusagasugá</c:v>
                </c:pt>
                <c:pt idx="90">
                  <c:v>Granada</c:v>
                </c:pt>
                <c:pt idx="91">
                  <c:v>Pandi</c:v>
                </c:pt>
                <c:pt idx="92">
                  <c:v>Pasca</c:v>
                </c:pt>
                <c:pt idx="93">
                  <c:v>San Bernardo</c:v>
                </c:pt>
                <c:pt idx="94">
                  <c:v>Silvania</c:v>
                </c:pt>
                <c:pt idx="95">
                  <c:v>Tibacuy</c:v>
                </c:pt>
                <c:pt idx="96">
                  <c:v>Venecia</c:v>
                </c:pt>
                <c:pt idx="97">
                  <c:v>Anapoima</c:v>
                </c:pt>
                <c:pt idx="98">
                  <c:v>Anolaima</c:v>
                </c:pt>
                <c:pt idx="99">
                  <c:v>Apulo</c:v>
                </c:pt>
                <c:pt idx="100">
                  <c:v>Cachipay</c:v>
                </c:pt>
                <c:pt idx="101">
                  <c:v>El Colegio</c:v>
                </c:pt>
                <c:pt idx="102">
                  <c:v>La Mesa</c:v>
                </c:pt>
                <c:pt idx="103">
                  <c:v>Quipile</c:v>
                </c:pt>
                <c:pt idx="104">
                  <c:v>San Antonio del Tequendama</c:v>
                </c:pt>
                <c:pt idx="105">
                  <c:v>Tena</c:v>
                </c:pt>
                <c:pt idx="106">
                  <c:v>Viotá</c:v>
                </c:pt>
                <c:pt idx="107">
                  <c:v>Carmen de Carupa</c:v>
                </c:pt>
                <c:pt idx="108">
                  <c:v>Cucunubá</c:v>
                </c:pt>
                <c:pt idx="109">
                  <c:v>Fúquene</c:v>
                </c:pt>
                <c:pt idx="110">
                  <c:v>Guachetá</c:v>
                </c:pt>
                <c:pt idx="111">
                  <c:v>Lenguazaque</c:v>
                </c:pt>
                <c:pt idx="112">
                  <c:v>Simijaca</c:v>
                </c:pt>
                <c:pt idx="113">
                  <c:v>Susa</c:v>
                </c:pt>
                <c:pt idx="114">
                  <c:v>Sutatausa</c:v>
                </c:pt>
                <c:pt idx="115">
                  <c:v>Tausa</c:v>
                </c:pt>
                <c:pt idx="116">
                  <c:v>Villa de San Diego de Ubate</c:v>
                </c:pt>
              </c:strCache>
            </c:strRef>
          </c:cat>
          <c:val>
            <c:numRef>
              <c:f>'MUNICIPIOS G'!$G$3:$G$120</c:f>
            </c:numRef>
          </c:val>
        </c:ser>
        <c:ser>
          <c:idx val="5"/>
          <c:order val="5"/>
          <c:tx>
            <c:strRef>
              <c:f>'MUNICIPIOS G'!$H$2</c:f>
              <c:strCache>
                <c:ptCount val="1"/>
                <c:pt idx="0">
                  <c:v>80% DE REGALIAS ASIGNADAS 2013-2014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'MUNICIPIOS G'!$B$3:$B$120</c:f>
              <c:strCache>
                <c:ptCount val="117"/>
                <c:pt idx="1">
                  <c:v>Chocontá</c:v>
                </c:pt>
                <c:pt idx="2">
                  <c:v>Macheta</c:v>
                </c:pt>
                <c:pt idx="3">
                  <c:v>Manta</c:v>
                </c:pt>
                <c:pt idx="4">
                  <c:v>Sesquilé</c:v>
                </c:pt>
                <c:pt idx="5">
                  <c:v>Suesca</c:v>
                </c:pt>
                <c:pt idx="6">
                  <c:v>Tibirita</c:v>
                </c:pt>
                <c:pt idx="7">
                  <c:v>Villapinzón</c:v>
                </c:pt>
                <c:pt idx="8">
                  <c:v>Agua de Dios</c:v>
                </c:pt>
                <c:pt idx="9">
                  <c:v>Girardot</c:v>
                </c:pt>
                <c:pt idx="10">
                  <c:v>Guataquí</c:v>
                </c:pt>
                <c:pt idx="11">
                  <c:v>Jerusalén</c:v>
                </c:pt>
                <c:pt idx="12">
                  <c:v>Nariño</c:v>
                </c:pt>
                <c:pt idx="13">
                  <c:v>Nilo</c:v>
                </c:pt>
                <c:pt idx="14">
                  <c:v>Ricaurte</c:v>
                </c:pt>
                <c:pt idx="15">
                  <c:v>Tocaima</c:v>
                </c:pt>
                <c:pt idx="16">
                  <c:v>Caparrapí</c:v>
                </c:pt>
                <c:pt idx="17">
                  <c:v>Guaduas</c:v>
                </c:pt>
                <c:pt idx="18">
                  <c:v>Puerto Salgar</c:v>
                </c:pt>
                <c:pt idx="19">
                  <c:v>Albán</c:v>
                </c:pt>
                <c:pt idx="20">
                  <c:v>La Peña</c:v>
                </c:pt>
                <c:pt idx="21">
                  <c:v>La Vega</c:v>
                </c:pt>
                <c:pt idx="22">
                  <c:v>Nimaima</c:v>
                </c:pt>
                <c:pt idx="23">
                  <c:v>Nocaima</c:v>
                </c:pt>
                <c:pt idx="24">
                  <c:v>Quebradanegra</c:v>
                </c:pt>
                <c:pt idx="25">
                  <c:v>San Francisco</c:v>
                </c:pt>
                <c:pt idx="26">
                  <c:v>Sasaima</c:v>
                </c:pt>
                <c:pt idx="27">
                  <c:v>Supatá</c:v>
                </c:pt>
                <c:pt idx="28">
                  <c:v>Útica</c:v>
                </c:pt>
                <c:pt idx="29">
                  <c:v>Vergara</c:v>
                </c:pt>
                <c:pt idx="30">
                  <c:v>Villeta</c:v>
                </c:pt>
                <c:pt idx="31">
                  <c:v>Gachala</c:v>
                </c:pt>
                <c:pt idx="32">
                  <c:v>Gachetá</c:v>
                </c:pt>
                <c:pt idx="33">
                  <c:v>Gama</c:v>
                </c:pt>
                <c:pt idx="34">
                  <c:v>Guasca</c:v>
                </c:pt>
                <c:pt idx="35">
                  <c:v>Guatavita</c:v>
                </c:pt>
                <c:pt idx="36">
                  <c:v>Junín</c:v>
                </c:pt>
                <c:pt idx="37">
                  <c:v>La Calera</c:v>
                </c:pt>
                <c:pt idx="38">
                  <c:v>Ubalá</c:v>
                </c:pt>
                <c:pt idx="39">
                  <c:v>Beltrán</c:v>
                </c:pt>
                <c:pt idx="40">
                  <c:v>Bituima</c:v>
                </c:pt>
                <c:pt idx="41">
                  <c:v>Chaguaní</c:v>
                </c:pt>
                <c:pt idx="42">
                  <c:v>Guayabal de Siquima</c:v>
                </c:pt>
                <c:pt idx="43">
                  <c:v>Pulí</c:v>
                </c:pt>
                <c:pt idx="44">
                  <c:v>San Juan de Río Seco</c:v>
                </c:pt>
                <c:pt idx="45">
                  <c:v>Vianí</c:v>
                </c:pt>
                <c:pt idx="46">
                  <c:v>Medina</c:v>
                </c:pt>
                <c:pt idx="47">
                  <c:v>Paratebueno</c:v>
                </c:pt>
                <c:pt idx="48">
                  <c:v>Caqueza</c:v>
                </c:pt>
                <c:pt idx="49">
                  <c:v>Chipaque</c:v>
                </c:pt>
                <c:pt idx="50">
                  <c:v>Choachí</c:v>
                </c:pt>
                <c:pt idx="51">
                  <c:v>Fomeque</c:v>
                </c:pt>
                <c:pt idx="52">
                  <c:v>Fosca</c:v>
                </c:pt>
                <c:pt idx="53">
                  <c:v>Guayabetal</c:v>
                </c:pt>
                <c:pt idx="54">
                  <c:v>Gutíerrez</c:v>
                </c:pt>
                <c:pt idx="55">
                  <c:v>Quetame</c:v>
                </c:pt>
                <c:pt idx="56">
                  <c:v>Ubaque</c:v>
                </c:pt>
                <c:pt idx="57">
                  <c:v>Une</c:v>
                </c:pt>
                <c:pt idx="58">
                  <c:v>El Peñón</c:v>
                </c:pt>
                <c:pt idx="59">
                  <c:v>La Palma</c:v>
                </c:pt>
                <c:pt idx="60">
                  <c:v>Pacho</c:v>
                </c:pt>
                <c:pt idx="61">
                  <c:v>Paime</c:v>
                </c:pt>
                <c:pt idx="62">
                  <c:v>San Cayetano</c:v>
                </c:pt>
                <c:pt idx="63">
                  <c:v>Topaipí</c:v>
                </c:pt>
                <c:pt idx="64">
                  <c:v>Villagómez</c:v>
                </c:pt>
                <c:pt idx="65">
                  <c:v>Yacopí</c:v>
                </c:pt>
                <c:pt idx="66">
                  <c:v>Cajicá</c:v>
                </c:pt>
                <c:pt idx="67">
                  <c:v>Chía</c:v>
                </c:pt>
                <c:pt idx="68">
                  <c:v>Cogua</c:v>
                </c:pt>
                <c:pt idx="69">
                  <c:v>Cota</c:v>
                </c:pt>
                <c:pt idx="70">
                  <c:v>Gachancipá</c:v>
                </c:pt>
                <c:pt idx="71">
                  <c:v>Nemocón</c:v>
                </c:pt>
                <c:pt idx="72">
                  <c:v>Sopó</c:v>
                </c:pt>
                <c:pt idx="73">
                  <c:v>Tabio</c:v>
                </c:pt>
                <c:pt idx="74">
                  <c:v>Tenjo</c:v>
                </c:pt>
                <c:pt idx="75">
                  <c:v>Tocancipá</c:v>
                </c:pt>
                <c:pt idx="76">
                  <c:v>Bojacá</c:v>
                </c:pt>
                <c:pt idx="77">
                  <c:v>El Rosal</c:v>
                </c:pt>
                <c:pt idx="78">
                  <c:v>Facatativá</c:v>
                </c:pt>
                <c:pt idx="79">
                  <c:v>Funza</c:v>
                </c:pt>
                <c:pt idx="80">
                  <c:v>Madrid</c:v>
                </c:pt>
                <c:pt idx="81">
                  <c:v>Mosquera</c:v>
                </c:pt>
                <c:pt idx="82">
                  <c:v>Subachoque</c:v>
                </c:pt>
                <c:pt idx="83">
                  <c:v>Zipacón</c:v>
                </c:pt>
                <c:pt idx="84">
                  <c:v>Zipaquirá</c:v>
                </c:pt>
                <c:pt idx="85">
                  <c:v>Sibaté</c:v>
                </c:pt>
                <c:pt idx="86">
                  <c:v>Soacha</c:v>
                </c:pt>
                <c:pt idx="87">
                  <c:v>Arbeláez</c:v>
                </c:pt>
                <c:pt idx="88">
                  <c:v>Cabrera</c:v>
                </c:pt>
                <c:pt idx="89">
                  <c:v>Fusagasugá</c:v>
                </c:pt>
                <c:pt idx="90">
                  <c:v>Granada</c:v>
                </c:pt>
                <c:pt idx="91">
                  <c:v>Pandi</c:v>
                </c:pt>
                <c:pt idx="92">
                  <c:v>Pasca</c:v>
                </c:pt>
                <c:pt idx="93">
                  <c:v>San Bernardo</c:v>
                </c:pt>
                <c:pt idx="94">
                  <c:v>Silvania</c:v>
                </c:pt>
                <c:pt idx="95">
                  <c:v>Tibacuy</c:v>
                </c:pt>
                <c:pt idx="96">
                  <c:v>Venecia</c:v>
                </c:pt>
                <c:pt idx="97">
                  <c:v>Anapoima</c:v>
                </c:pt>
                <c:pt idx="98">
                  <c:v>Anolaima</c:v>
                </c:pt>
                <c:pt idx="99">
                  <c:v>Apulo</c:v>
                </c:pt>
                <c:pt idx="100">
                  <c:v>Cachipay</c:v>
                </c:pt>
                <c:pt idx="101">
                  <c:v>El Colegio</c:v>
                </c:pt>
                <c:pt idx="102">
                  <c:v>La Mesa</c:v>
                </c:pt>
                <c:pt idx="103">
                  <c:v>Quipile</c:v>
                </c:pt>
                <c:pt idx="104">
                  <c:v>San Antonio del Tequendama</c:v>
                </c:pt>
                <c:pt idx="105">
                  <c:v>Tena</c:v>
                </c:pt>
                <c:pt idx="106">
                  <c:v>Viotá</c:v>
                </c:pt>
                <c:pt idx="107">
                  <c:v>Carmen de Carupa</c:v>
                </c:pt>
                <c:pt idx="108">
                  <c:v>Cucunubá</c:v>
                </c:pt>
                <c:pt idx="109">
                  <c:v>Fúquene</c:v>
                </c:pt>
                <c:pt idx="110">
                  <c:v>Guachetá</c:v>
                </c:pt>
                <c:pt idx="111">
                  <c:v>Lenguazaque</c:v>
                </c:pt>
                <c:pt idx="112">
                  <c:v>Simijaca</c:v>
                </c:pt>
                <c:pt idx="113">
                  <c:v>Susa</c:v>
                </c:pt>
                <c:pt idx="114">
                  <c:v>Sutatausa</c:v>
                </c:pt>
                <c:pt idx="115">
                  <c:v>Tausa</c:v>
                </c:pt>
                <c:pt idx="116">
                  <c:v>Villa de San Diego de Ubate</c:v>
                </c:pt>
              </c:strCache>
            </c:strRef>
          </c:cat>
          <c:val>
            <c:numRef>
              <c:f>'MUNICIPIOS G'!$H$3:$H$120</c:f>
            </c:numRef>
          </c:val>
        </c:ser>
        <c:ser>
          <c:idx val="6"/>
          <c:order val="6"/>
          <c:tx>
            <c:strRef>
              <c:f>'MUNICIPIOS G'!$I$2</c:f>
              <c:strCache>
                <c:ptCount val="1"/>
                <c:pt idx="0">
                  <c:v>VALOR PROYECTO APROBADO OCAD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'MUNICIPIOS G'!$B$3:$B$120</c:f>
              <c:strCache>
                <c:ptCount val="117"/>
                <c:pt idx="1">
                  <c:v>Chocontá</c:v>
                </c:pt>
                <c:pt idx="2">
                  <c:v>Macheta</c:v>
                </c:pt>
                <c:pt idx="3">
                  <c:v>Manta</c:v>
                </c:pt>
                <c:pt idx="4">
                  <c:v>Sesquilé</c:v>
                </c:pt>
                <c:pt idx="5">
                  <c:v>Suesca</c:v>
                </c:pt>
                <c:pt idx="6">
                  <c:v>Tibirita</c:v>
                </c:pt>
                <c:pt idx="7">
                  <c:v>Villapinzón</c:v>
                </c:pt>
                <c:pt idx="8">
                  <c:v>Agua de Dios</c:v>
                </c:pt>
                <c:pt idx="9">
                  <c:v>Girardot</c:v>
                </c:pt>
                <c:pt idx="10">
                  <c:v>Guataquí</c:v>
                </c:pt>
                <c:pt idx="11">
                  <c:v>Jerusalén</c:v>
                </c:pt>
                <c:pt idx="12">
                  <c:v>Nariño</c:v>
                </c:pt>
                <c:pt idx="13">
                  <c:v>Nilo</c:v>
                </c:pt>
                <c:pt idx="14">
                  <c:v>Ricaurte</c:v>
                </c:pt>
                <c:pt idx="15">
                  <c:v>Tocaima</c:v>
                </c:pt>
                <c:pt idx="16">
                  <c:v>Caparrapí</c:v>
                </c:pt>
                <c:pt idx="17">
                  <c:v>Guaduas</c:v>
                </c:pt>
                <c:pt idx="18">
                  <c:v>Puerto Salgar</c:v>
                </c:pt>
                <c:pt idx="19">
                  <c:v>Albán</c:v>
                </c:pt>
                <c:pt idx="20">
                  <c:v>La Peña</c:v>
                </c:pt>
                <c:pt idx="21">
                  <c:v>La Vega</c:v>
                </c:pt>
                <c:pt idx="22">
                  <c:v>Nimaima</c:v>
                </c:pt>
                <c:pt idx="23">
                  <c:v>Nocaima</c:v>
                </c:pt>
                <c:pt idx="24">
                  <c:v>Quebradanegra</c:v>
                </c:pt>
                <c:pt idx="25">
                  <c:v>San Francisco</c:v>
                </c:pt>
                <c:pt idx="26">
                  <c:v>Sasaima</c:v>
                </c:pt>
                <c:pt idx="27">
                  <c:v>Supatá</c:v>
                </c:pt>
                <c:pt idx="28">
                  <c:v>Útica</c:v>
                </c:pt>
                <c:pt idx="29">
                  <c:v>Vergara</c:v>
                </c:pt>
                <c:pt idx="30">
                  <c:v>Villeta</c:v>
                </c:pt>
                <c:pt idx="31">
                  <c:v>Gachala</c:v>
                </c:pt>
                <c:pt idx="32">
                  <c:v>Gachetá</c:v>
                </c:pt>
                <c:pt idx="33">
                  <c:v>Gama</c:v>
                </c:pt>
                <c:pt idx="34">
                  <c:v>Guasca</c:v>
                </c:pt>
                <c:pt idx="35">
                  <c:v>Guatavita</c:v>
                </c:pt>
                <c:pt idx="36">
                  <c:v>Junín</c:v>
                </c:pt>
                <c:pt idx="37">
                  <c:v>La Calera</c:v>
                </c:pt>
                <c:pt idx="38">
                  <c:v>Ubalá</c:v>
                </c:pt>
                <c:pt idx="39">
                  <c:v>Beltrán</c:v>
                </c:pt>
                <c:pt idx="40">
                  <c:v>Bituima</c:v>
                </c:pt>
                <c:pt idx="41">
                  <c:v>Chaguaní</c:v>
                </c:pt>
                <c:pt idx="42">
                  <c:v>Guayabal de Siquima</c:v>
                </c:pt>
                <c:pt idx="43">
                  <c:v>Pulí</c:v>
                </c:pt>
                <c:pt idx="44">
                  <c:v>San Juan de Río Seco</c:v>
                </c:pt>
                <c:pt idx="45">
                  <c:v>Vianí</c:v>
                </c:pt>
                <c:pt idx="46">
                  <c:v>Medina</c:v>
                </c:pt>
                <c:pt idx="47">
                  <c:v>Paratebueno</c:v>
                </c:pt>
                <c:pt idx="48">
                  <c:v>Caqueza</c:v>
                </c:pt>
                <c:pt idx="49">
                  <c:v>Chipaque</c:v>
                </c:pt>
                <c:pt idx="50">
                  <c:v>Choachí</c:v>
                </c:pt>
                <c:pt idx="51">
                  <c:v>Fomeque</c:v>
                </c:pt>
                <c:pt idx="52">
                  <c:v>Fosca</c:v>
                </c:pt>
                <c:pt idx="53">
                  <c:v>Guayabetal</c:v>
                </c:pt>
                <c:pt idx="54">
                  <c:v>Gutíerrez</c:v>
                </c:pt>
                <c:pt idx="55">
                  <c:v>Quetame</c:v>
                </c:pt>
                <c:pt idx="56">
                  <c:v>Ubaque</c:v>
                </c:pt>
                <c:pt idx="57">
                  <c:v>Une</c:v>
                </c:pt>
                <c:pt idx="58">
                  <c:v>El Peñón</c:v>
                </c:pt>
                <c:pt idx="59">
                  <c:v>La Palma</c:v>
                </c:pt>
                <c:pt idx="60">
                  <c:v>Pacho</c:v>
                </c:pt>
                <c:pt idx="61">
                  <c:v>Paime</c:v>
                </c:pt>
                <c:pt idx="62">
                  <c:v>San Cayetano</c:v>
                </c:pt>
                <c:pt idx="63">
                  <c:v>Topaipí</c:v>
                </c:pt>
                <c:pt idx="64">
                  <c:v>Villagómez</c:v>
                </c:pt>
                <c:pt idx="65">
                  <c:v>Yacopí</c:v>
                </c:pt>
                <c:pt idx="66">
                  <c:v>Cajicá</c:v>
                </c:pt>
                <c:pt idx="67">
                  <c:v>Chía</c:v>
                </c:pt>
                <c:pt idx="68">
                  <c:v>Cogua</c:v>
                </c:pt>
                <c:pt idx="69">
                  <c:v>Cota</c:v>
                </c:pt>
                <c:pt idx="70">
                  <c:v>Gachancipá</c:v>
                </c:pt>
                <c:pt idx="71">
                  <c:v>Nemocón</c:v>
                </c:pt>
                <c:pt idx="72">
                  <c:v>Sopó</c:v>
                </c:pt>
                <c:pt idx="73">
                  <c:v>Tabio</c:v>
                </c:pt>
                <c:pt idx="74">
                  <c:v>Tenjo</c:v>
                </c:pt>
                <c:pt idx="75">
                  <c:v>Tocancipá</c:v>
                </c:pt>
                <c:pt idx="76">
                  <c:v>Bojacá</c:v>
                </c:pt>
                <c:pt idx="77">
                  <c:v>El Rosal</c:v>
                </c:pt>
                <c:pt idx="78">
                  <c:v>Facatativá</c:v>
                </c:pt>
                <c:pt idx="79">
                  <c:v>Funza</c:v>
                </c:pt>
                <c:pt idx="80">
                  <c:v>Madrid</c:v>
                </c:pt>
                <c:pt idx="81">
                  <c:v>Mosquera</c:v>
                </c:pt>
                <c:pt idx="82">
                  <c:v>Subachoque</c:v>
                </c:pt>
                <c:pt idx="83">
                  <c:v>Zipacón</c:v>
                </c:pt>
                <c:pt idx="84">
                  <c:v>Zipaquirá</c:v>
                </c:pt>
                <c:pt idx="85">
                  <c:v>Sibaté</c:v>
                </c:pt>
                <c:pt idx="86">
                  <c:v>Soacha</c:v>
                </c:pt>
                <c:pt idx="87">
                  <c:v>Arbeláez</c:v>
                </c:pt>
                <c:pt idx="88">
                  <c:v>Cabrera</c:v>
                </c:pt>
                <c:pt idx="89">
                  <c:v>Fusagasugá</c:v>
                </c:pt>
                <c:pt idx="90">
                  <c:v>Granada</c:v>
                </c:pt>
                <c:pt idx="91">
                  <c:v>Pandi</c:v>
                </c:pt>
                <c:pt idx="92">
                  <c:v>Pasca</c:v>
                </c:pt>
                <c:pt idx="93">
                  <c:v>San Bernardo</c:v>
                </c:pt>
                <c:pt idx="94">
                  <c:v>Silvania</c:v>
                </c:pt>
                <c:pt idx="95">
                  <c:v>Tibacuy</c:v>
                </c:pt>
                <c:pt idx="96">
                  <c:v>Venecia</c:v>
                </c:pt>
                <c:pt idx="97">
                  <c:v>Anapoima</c:v>
                </c:pt>
                <c:pt idx="98">
                  <c:v>Anolaima</c:v>
                </c:pt>
                <c:pt idx="99">
                  <c:v>Apulo</c:v>
                </c:pt>
                <c:pt idx="100">
                  <c:v>Cachipay</c:v>
                </c:pt>
                <c:pt idx="101">
                  <c:v>El Colegio</c:v>
                </c:pt>
                <c:pt idx="102">
                  <c:v>La Mesa</c:v>
                </c:pt>
                <c:pt idx="103">
                  <c:v>Quipile</c:v>
                </c:pt>
                <c:pt idx="104">
                  <c:v>San Antonio del Tequendama</c:v>
                </c:pt>
                <c:pt idx="105">
                  <c:v>Tena</c:v>
                </c:pt>
                <c:pt idx="106">
                  <c:v>Viotá</c:v>
                </c:pt>
                <c:pt idx="107">
                  <c:v>Carmen de Carupa</c:v>
                </c:pt>
                <c:pt idx="108">
                  <c:v>Cucunubá</c:v>
                </c:pt>
                <c:pt idx="109">
                  <c:v>Fúquene</c:v>
                </c:pt>
                <c:pt idx="110">
                  <c:v>Guachetá</c:v>
                </c:pt>
                <c:pt idx="111">
                  <c:v>Lenguazaque</c:v>
                </c:pt>
                <c:pt idx="112">
                  <c:v>Simijaca</c:v>
                </c:pt>
                <c:pt idx="113">
                  <c:v>Susa</c:v>
                </c:pt>
                <c:pt idx="114">
                  <c:v>Sutatausa</c:v>
                </c:pt>
                <c:pt idx="115">
                  <c:v>Tausa</c:v>
                </c:pt>
                <c:pt idx="116">
                  <c:v>Villa de San Diego de Ubate</c:v>
                </c:pt>
              </c:strCache>
            </c:strRef>
          </c:cat>
          <c:val>
            <c:numRef>
              <c:f>'MUNICIPIOS G'!$I$3:$I$120</c:f>
            </c:numRef>
          </c:val>
        </c:ser>
        <c:ser>
          <c:idx val="7"/>
          <c:order val="7"/>
          <c:tx>
            <c:strRef>
              <c:f>'MUNICIPIOS G'!$J$2</c:f>
              <c:strCache>
                <c:ptCount val="1"/>
                <c:pt idx="0">
                  <c:v>VALOR APROBADO POR SGR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'MUNICIPIOS G'!$B$3:$B$120</c:f>
              <c:strCache>
                <c:ptCount val="117"/>
                <c:pt idx="1">
                  <c:v>Chocontá</c:v>
                </c:pt>
                <c:pt idx="2">
                  <c:v>Macheta</c:v>
                </c:pt>
                <c:pt idx="3">
                  <c:v>Manta</c:v>
                </c:pt>
                <c:pt idx="4">
                  <c:v>Sesquilé</c:v>
                </c:pt>
                <c:pt idx="5">
                  <c:v>Suesca</c:v>
                </c:pt>
                <c:pt idx="6">
                  <c:v>Tibirita</c:v>
                </c:pt>
                <c:pt idx="7">
                  <c:v>Villapinzón</c:v>
                </c:pt>
                <c:pt idx="8">
                  <c:v>Agua de Dios</c:v>
                </c:pt>
                <c:pt idx="9">
                  <c:v>Girardot</c:v>
                </c:pt>
                <c:pt idx="10">
                  <c:v>Guataquí</c:v>
                </c:pt>
                <c:pt idx="11">
                  <c:v>Jerusalén</c:v>
                </c:pt>
                <c:pt idx="12">
                  <c:v>Nariño</c:v>
                </c:pt>
                <c:pt idx="13">
                  <c:v>Nilo</c:v>
                </c:pt>
                <c:pt idx="14">
                  <c:v>Ricaurte</c:v>
                </c:pt>
                <c:pt idx="15">
                  <c:v>Tocaima</c:v>
                </c:pt>
                <c:pt idx="16">
                  <c:v>Caparrapí</c:v>
                </c:pt>
                <c:pt idx="17">
                  <c:v>Guaduas</c:v>
                </c:pt>
                <c:pt idx="18">
                  <c:v>Puerto Salgar</c:v>
                </c:pt>
                <c:pt idx="19">
                  <c:v>Albán</c:v>
                </c:pt>
                <c:pt idx="20">
                  <c:v>La Peña</c:v>
                </c:pt>
                <c:pt idx="21">
                  <c:v>La Vega</c:v>
                </c:pt>
                <c:pt idx="22">
                  <c:v>Nimaima</c:v>
                </c:pt>
                <c:pt idx="23">
                  <c:v>Nocaima</c:v>
                </c:pt>
                <c:pt idx="24">
                  <c:v>Quebradanegra</c:v>
                </c:pt>
                <c:pt idx="25">
                  <c:v>San Francisco</c:v>
                </c:pt>
                <c:pt idx="26">
                  <c:v>Sasaima</c:v>
                </c:pt>
                <c:pt idx="27">
                  <c:v>Supatá</c:v>
                </c:pt>
                <c:pt idx="28">
                  <c:v>Útica</c:v>
                </c:pt>
                <c:pt idx="29">
                  <c:v>Vergara</c:v>
                </c:pt>
                <c:pt idx="30">
                  <c:v>Villeta</c:v>
                </c:pt>
                <c:pt idx="31">
                  <c:v>Gachala</c:v>
                </c:pt>
                <c:pt idx="32">
                  <c:v>Gachetá</c:v>
                </c:pt>
                <c:pt idx="33">
                  <c:v>Gama</c:v>
                </c:pt>
                <c:pt idx="34">
                  <c:v>Guasca</c:v>
                </c:pt>
                <c:pt idx="35">
                  <c:v>Guatavita</c:v>
                </c:pt>
                <c:pt idx="36">
                  <c:v>Junín</c:v>
                </c:pt>
                <c:pt idx="37">
                  <c:v>La Calera</c:v>
                </c:pt>
                <c:pt idx="38">
                  <c:v>Ubalá</c:v>
                </c:pt>
                <c:pt idx="39">
                  <c:v>Beltrán</c:v>
                </c:pt>
                <c:pt idx="40">
                  <c:v>Bituima</c:v>
                </c:pt>
                <c:pt idx="41">
                  <c:v>Chaguaní</c:v>
                </c:pt>
                <c:pt idx="42">
                  <c:v>Guayabal de Siquima</c:v>
                </c:pt>
                <c:pt idx="43">
                  <c:v>Pulí</c:v>
                </c:pt>
                <c:pt idx="44">
                  <c:v>San Juan de Río Seco</c:v>
                </c:pt>
                <c:pt idx="45">
                  <c:v>Vianí</c:v>
                </c:pt>
                <c:pt idx="46">
                  <c:v>Medina</c:v>
                </c:pt>
                <c:pt idx="47">
                  <c:v>Paratebueno</c:v>
                </c:pt>
                <c:pt idx="48">
                  <c:v>Caqueza</c:v>
                </c:pt>
                <c:pt idx="49">
                  <c:v>Chipaque</c:v>
                </c:pt>
                <c:pt idx="50">
                  <c:v>Choachí</c:v>
                </c:pt>
                <c:pt idx="51">
                  <c:v>Fomeque</c:v>
                </c:pt>
                <c:pt idx="52">
                  <c:v>Fosca</c:v>
                </c:pt>
                <c:pt idx="53">
                  <c:v>Guayabetal</c:v>
                </c:pt>
                <c:pt idx="54">
                  <c:v>Gutíerrez</c:v>
                </c:pt>
                <c:pt idx="55">
                  <c:v>Quetame</c:v>
                </c:pt>
                <c:pt idx="56">
                  <c:v>Ubaque</c:v>
                </c:pt>
                <c:pt idx="57">
                  <c:v>Une</c:v>
                </c:pt>
                <c:pt idx="58">
                  <c:v>El Peñón</c:v>
                </c:pt>
                <c:pt idx="59">
                  <c:v>La Palma</c:v>
                </c:pt>
                <c:pt idx="60">
                  <c:v>Pacho</c:v>
                </c:pt>
                <c:pt idx="61">
                  <c:v>Paime</c:v>
                </c:pt>
                <c:pt idx="62">
                  <c:v>San Cayetano</c:v>
                </c:pt>
                <c:pt idx="63">
                  <c:v>Topaipí</c:v>
                </c:pt>
                <c:pt idx="64">
                  <c:v>Villagómez</c:v>
                </c:pt>
                <c:pt idx="65">
                  <c:v>Yacopí</c:v>
                </c:pt>
                <c:pt idx="66">
                  <c:v>Cajicá</c:v>
                </c:pt>
                <c:pt idx="67">
                  <c:v>Chía</c:v>
                </c:pt>
                <c:pt idx="68">
                  <c:v>Cogua</c:v>
                </c:pt>
                <c:pt idx="69">
                  <c:v>Cota</c:v>
                </c:pt>
                <c:pt idx="70">
                  <c:v>Gachancipá</c:v>
                </c:pt>
                <c:pt idx="71">
                  <c:v>Nemocón</c:v>
                </c:pt>
                <c:pt idx="72">
                  <c:v>Sopó</c:v>
                </c:pt>
                <c:pt idx="73">
                  <c:v>Tabio</c:v>
                </c:pt>
                <c:pt idx="74">
                  <c:v>Tenjo</c:v>
                </c:pt>
                <c:pt idx="75">
                  <c:v>Tocancipá</c:v>
                </c:pt>
                <c:pt idx="76">
                  <c:v>Bojacá</c:v>
                </c:pt>
                <c:pt idx="77">
                  <c:v>El Rosal</c:v>
                </c:pt>
                <c:pt idx="78">
                  <c:v>Facatativá</c:v>
                </c:pt>
                <c:pt idx="79">
                  <c:v>Funza</c:v>
                </c:pt>
                <c:pt idx="80">
                  <c:v>Madrid</c:v>
                </c:pt>
                <c:pt idx="81">
                  <c:v>Mosquera</c:v>
                </c:pt>
                <c:pt idx="82">
                  <c:v>Subachoque</c:v>
                </c:pt>
                <c:pt idx="83">
                  <c:v>Zipacón</c:v>
                </c:pt>
                <c:pt idx="84">
                  <c:v>Zipaquirá</c:v>
                </c:pt>
                <c:pt idx="85">
                  <c:v>Sibaté</c:v>
                </c:pt>
                <c:pt idx="86">
                  <c:v>Soacha</c:v>
                </c:pt>
                <c:pt idx="87">
                  <c:v>Arbeláez</c:v>
                </c:pt>
                <c:pt idx="88">
                  <c:v>Cabrera</c:v>
                </c:pt>
                <c:pt idx="89">
                  <c:v>Fusagasugá</c:v>
                </c:pt>
                <c:pt idx="90">
                  <c:v>Granada</c:v>
                </c:pt>
                <c:pt idx="91">
                  <c:v>Pandi</c:v>
                </c:pt>
                <c:pt idx="92">
                  <c:v>Pasca</c:v>
                </c:pt>
                <c:pt idx="93">
                  <c:v>San Bernardo</c:v>
                </c:pt>
                <c:pt idx="94">
                  <c:v>Silvania</c:v>
                </c:pt>
                <c:pt idx="95">
                  <c:v>Tibacuy</c:v>
                </c:pt>
                <c:pt idx="96">
                  <c:v>Venecia</c:v>
                </c:pt>
                <c:pt idx="97">
                  <c:v>Anapoima</c:v>
                </c:pt>
                <c:pt idx="98">
                  <c:v>Anolaima</c:v>
                </c:pt>
                <c:pt idx="99">
                  <c:v>Apulo</c:v>
                </c:pt>
                <c:pt idx="100">
                  <c:v>Cachipay</c:v>
                </c:pt>
                <c:pt idx="101">
                  <c:v>El Colegio</c:v>
                </c:pt>
                <c:pt idx="102">
                  <c:v>La Mesa</c:v>
                </c:pt>
                <c:pt idx="103">
                  <c:v>Quipile</c:v>
                </c:pt>
                <c:pt idx="104">
                  <c:v>San Antonio del Tequendama</c:v>
                </c:pt>
                <c:pt idx="105">
                  <c:v>Tena</c:v>
                </c:pt>
                <c:pt idx="106">
                  <c:v>Viotá</c:v>
                </c:pt>
                <c:pt idx="107">
                  <c:v>Carmen de Carupa</c:v>
                </c:pt>
                <c:pt idx="108">
                  <c:v>Cucunubá</c:v>
                </c:pt>
                <c:pt idx="109">
                  <c:v>Fúquene</c:v>
                </c:pt>
                <c:pt idx="110">
                  <c:v>Guachetá</c:v>
                </c:pt>
                <c:pt idx="111">
                  <c:v>Lenguazaque</c:v>
                </c:pt>
                <c:pt idx="112">
                  <c:v>Simijaca</c:v>
                </c:pt>
                <c:pt idx="113">
                  <c:v>Susa</c:v>
                </c:pt>
                <c:pt idx="114">
                  <c:v>Sutatausa</c:v>
                </c:pt>
                <c:pt idx="115">
                  <c:v>Tausa</c:v>
                </c:pt>
                <c:pt idx="116">
                  <c:v>Villa de San Diego de Ubate</c:v>
                </c:pt>
              </c:strCache>
            </c:strRef>
          </c:cat>
          <c:val>
            <c:numRef>
              <c:f>'MUNICIPIOS G'!$J$3:$J$120</c:f>
              <c:numCache>
                <c:formatCode>_-* #,##0\ _€_-;\-* #,##0\ _€_-;_-* "-"\ _€_-;_-@_-</c:formatCode>
                <c:ptCount val="117"/>
                <c:pt idx="1">
                  <c:v>1617235359</c:v>
                </c:pt>
                <c:pt idx="2">
                  <c:v>170000000</c:v>
                </c:pt>
                <c:pt idx="3">
                  <c:v>446153596</c:v>
                </c:pt>
                <c:pt idx="4">
                  <c:v>1025556521</c:v>
                </c:pt>
                <c:pt idx="5">
                  <c:v>1070000000</c:v>
                </c:pt>
                <c:pt idx="6">
                  <c:v>443711577</c:v>
                </c:pt>
                <c:pt idx="7">
                  <c:v>785792214</c:v>
                </c:pt>
                <c:pt idx="8">
                  <c:v>416524687</c:v>
                </c:pt>
                <c:pt idx="9">
                  <c:v>0</c:v>
                </c:pt>
                <c:pt idx="10">
                  <c:v>0</c:v>
                </c:pt>
                <c:pt idx="11">
                  <c:v>265633637</c:v>
                </c:pt>
                <c:pt idx="12">
                  <c:v>0</c:v>
                </c:pt>
                <c:pt idx="13">
                  <c:v>414944552</c:v>
                </c:pt>
                <c:pt idx="14">
                  <c:v>846674552</c:v>
                </c:pt>
                <c:pt idx="15">
                  <c:v>373322150</c:v>
                </c:pt>
                <c:pt idx="16">
                  <c:v>573365686</c:v>
                </c:pt>
                <c:pt idx="17">
                  <c:v>1781174677</c:v>
                </c:pt>
                <c:pt idx="18">
                  <c:v>30000000</c:v>
                </c:pt>
                <c:pt idx="19">
                  <c:v>270000000</c:v>
                </c:pt>
                <c:pt idx="20">
                  <c:v>293000000</c:v>
                </c:pt>
                <c:pt idx="21">
                  <c:v>673000000</c:v>
                </c:pt>
                <c:pt idx="22">
                  <c:v>288500000</c:v>
                </c:pt>
                <c:pt idx="23">
                  <c:v>665972252</c:v>
                </c:pt>
                <c:pt idx="24">
                  <c:v>360000000</c:v>
                </c:pt>
                <c:pt idx="25">
                  <c:v>252010000</c:v>
                </c:pt>
                <c:pt idx="26">
                  <c:v>240000000</c:v>
                </c:pt>
                <c:pt idx="27">
                  <c:v>387824791</c:v>
                </c:pt>
                <c:pt idx="28">
                  <c:v>483681412</c:v>
                </c:pt>
                <c:pt idx="29">
                  <c:v>682487619</c:v>
                </c:pt>
                <c:pt idx="30">
                  <c:v>1366462640</c:v>
                </c:pt>
                <c:pt idx="31">
                  <c:v>927077638</c:v>
                </c:pt>
                <c:pt idx="32">
                  <c:v>1052132026</c:v>
                </c:pt>
                <c:pt idx="33">
                  <c:v>0</c:v>
                </c:pt>
                <c:pt idx="34">
                  <c:v>434987801</c:v>
                </c:pt>
                <c:pt idx="35">
                  <c:v>237563146</c:v>
                </c:pt>
                <c:pt idx="36">
                  <c:v>315000000</c:v>
                </c:pt>
                <c:pt idx="37">
                  <c:v>427000000</c:v>
                </c:pt>
                <c:pt idx="38">
                  <c:v>246740000</c:v>
                </c:pt>
                <c:pt idx="39">
                  <c:v>434000000</c:v>
                </c:pt>
                <c:pt idx="40">
                  <c:v>270000000</c:v>
                </c:pt>
                <c:pt idx="41">
                  <c:v>195000000</c:v>
                </c:pt>
                <c:pt idx="42">
                  <c:v>233000000</c:v>
                </c:pt>
                <c:pt idx="43">
                  <c:v>541199803</c:v>
                </c:pt>
                <c:pt idx="44">
                  <c:v>515000000</c:v>
                </c:pt>
                <c:pt idx="45">
                  <c:v>331704764</c:v>
                </c:pt>
                <c:pt idx="46">
                  <c:v>0</c:v>
                </c:pt>
                <c:pt idx="47">
                  <c:v>233871681</c:v>
                </c:pt>
                <c:pt idx="48">
                  <c:v>801198446</c:v>
                </c:pt>
                <c:pt idx="49">
                  <c:v>298017079</c:v>
                </c:pt>
                <c:pt idx="50">
                  <c:v>473881537</c:v>
                </c:pt>
                <c:pt idx="51">
                  <c:v>782000000</c:v>
                </c:pt>
                <c:pt idx="52">
                  <c:v>1021000000</c:v>
                </c:pt>
                <c:pt idx="53">
                  <c:v>477229153</c:v>
                </c:pt>
                <c:pt idx="54">
                  <c:v>238000633.78999999</c:v>
                </c:pt>
                <c:pt idx="55">
                  <c:v>574388543</c:v>
                </c:pt>
                <c:pt idx="56">
                  <c:v>504148238</c:v>
                </c:pt>
                <c:pt idx="57">
                  <c:v>297999932</c:v>
                </c:pt>
                <c:pt idx="58">
                  <c:v>18000000</c:v>
                </c:pt>
                <c:pt idx="59">
                  <c:v>940309757</c:v>
                </c:pt>
                <c:pt idx="60">
                  <c:v>1620708494</c:v>
                </c:pt>
                <c:pt idx="61">
                  <c:v>453089931</c:v>
                </c:pt>
                <c:pt idx="62">
                  <c:v>193149712</c:v>
                </c:pt>
                <c:pt idx="63">
                  <c:v>440249505</c:v>
                </c:pt>
                <c:pt idx="64">
                  <c:v>209420000</c:v>
                </c:pt>
                <c:pt idx="65">
                  <c:v>65500000</c:v>
                </c:pt>
                <c:pt idx="66">
                  <c:v>0</c:v>
                </c:pt>
                <c:pt idx="67">
                  <c:v>0</c:v>
                </c:pt>
                <c:pt idx="68">
                  <c:v>139964006</c:v>
                </c:pt>
                <c:pt idx="69">
                  <c:v>0</c:v>
                </c:pt>
                <c:pt idx="70">
                  <c:v>1108288151</c:v>
                </c:pt>
                <c:pt idx="71">
                  <c:v>1644740490</c:v>
                </c:pt>
                <c:pt idx="72">
                  <c:v>922099928</c:v>
                </c:pt>
                <c:pt idx="73">
                  <c:v>60824791</c:v>
                </c:pt>
                <c:pt idx="74">
                  <c:v>712338111</c:v>
                </c:pt>
                <c:pt idx="75">
                  <c:v>0</c:v>
                </c:pt>
                <c:pt idx="76">
                  <c:v>125000000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215700000</c:v>
                </c:pt>
                <c:pt idx="83">
                  <c:v>47322150</c:v>
                </c:pt>
                <c:pt idx="84">
                  <c:v>1380000000</c:v>
                </c:pt>
                <c:pt idx="85">
                  <c:v>1229806885</c:v>
                </c:pt>
                <c:pt idx="86">
                  <c:v>0</c:v>
                </c:pt>
                <c:pt idx="87">
                  <c:v>0</c:v>
                </c:pt>
                <c:pt idx="88">
                  <c:v>440146756</c:v>
                </c:pt>
                <c:pt idx="89">
                  <c:v>0</c:v>
                </c:pt>
                <c:pt idx="90">
                  <c:v>777262144</c:v>
                </c:pt>
                <c:pt idx="91">
                  <c:v>291292290</c:v>
                </c:pt>
                <c:pt idx="92">
                  <c:v>458361899</c:v>
                </c:pt>
                <c:pt idx="93">
                  <c:v>806974474</c:v>
                </c:pt>
                <c:pt idx="94">
                  <c:v>590322150</c:v>
                </c:pt>
                <c:pt idx="95">
                  <c:v>443762757</c:v>
                </c:pt>
                <c:pt idx="96">
                  <c:v>247322150</c:v>
                </c:pt>
                <c:pt idx="97">
                  <c:v>1254627376</c:v>
                </c:pt>
                <c:pt idx="98">
                  <c:v>240000000</c:v>
                </c:pt>
                <c:pt idx="99">
                  <c:v>339228053</c:v>
                </c:pt>
                <c:pt idx="100">
                  <c:v>335627893</c:v>
                </c:pt>
                <c:pt idx="101">
                  <c:v>739123064</c:v>
                </c:pt>
                <c:pt idx="102">
                  <c:v>618413317</c:v>
                </c:pt>
                <c:pt idx="103">
                  <c:v>479257259</c:v>
                </c:pt>
                <c:pt idx="104">
                  <c:v>1216293894</c:v>
                </c:pt>
                <c:pt idx="105">
                  <c:v>544728280</c:v>
                </c:pt>
                <c:pt idx="106">
                  <c:v>720000000</c:v>
                </c:pt>
                <c:pt idx="107">
                  <c:v>842060000</c:v>
                </c:pt>
                <c:pt idx="108">
                  <c:v>540736628</c:v>
                </c:pt>
                <c:pt idx="109">
                  <c:v>664535112</c:v>
                </c:pt>
                <c:pt idx="110">
                  <c:v>1300000000</c:v>
                </c:pt>
                <c:pt idx="111">
                  <c:v>857000000</c:v>
                </c:pt>
                <c:pt idx="112">
                  <c:v>1051653263</c:v>
                </c:pt>
                <c:pt idx="113">
                  <c:v>360968556</c:v>
                </c:pt>
                <c:pt idx="114">
                  <c:v>772580551</c:v>
                </c:pt>
                <c:pt idx="115">
                  <c:v>920387458</c:v>
                </c:pt>
                <c:pt idx="116">
                  <c:v>865301943</c:v>
                </c:pt>
              </c:numCache>
            </c:numRef>
          </c:val>
        </c:ser>
        <c:ser>
          <c:idx val="8"/>
          <c:order val="8"/>
          <c:tx>
            <c:strRef>
              <c:f>'MUNICIPIOS G'!$K$2</c:f>
              <c:strCache>
                <c:ptCount val="1"/>
                <c:pt idx="0">
                  <c:v>TOTAL REGALIAS ASIGNADAS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'MUNICIPIOS G'!$B$3:$B$120</c:f>
              <c:strCache>
                <c:ptCount val="117"/>
                <c:pt idx="1">
                  <c:v>Chocontá</c:v>
                </c:pt>
                <c:pt idx="2">
                  <c:v>Macheta</c:v>
                </c:pt>
                <c:pt idx="3">
                  <c:v>Manta</c:v>
                </c:pt>
                <c:pt idx="4">
                  <c:v>Sesquilé</c:v>
                </c:pt>
                <c:pt idx="5">
                  <c:v>Suesca</c:v>
                </c:pt>
                <c:pt idx="6">
                  <c:v>Tibirita</c:v>
                </c:pt>
                <c:pt idx="7">
                  <c:v>Villapinzón</c:v>
                </c:pt>
                <c:pt idx="8">
                  <c:v>Agua de Dios</c:v>
                </c:pt>
                <c:pt idx="9">
                  <c:v>Girardot</c:v>
                </c:pt>
                <c:pt idx="10">
                  <c:v>Guataquí</c:v>
                </c:pt>
                <c:pt idx="11">
                  <c:v>Jerusalén</c:v>
                </c:pt>
                <c:pt idx="12">
                  <c:v>Nariño</c:v>
                </c:pt>
                <c:pt idx="13">
                  <c:v>Nilo</c:v>
                </c:pt>
                <c:pt idx="14">
                  <c:v>Ricaurte</c:v>
                </c:pt>
                <c:pt idx="15">
                  <c:v>Tocaima</c:v>
                </c:pt>
                <c:pt idx="16">
                  <c:v>Caparrapí</c:v>
                </c:pt>
                <c:pt idx="17">
                  <c:v>Guaduas</c:v>
                </c:pt>
                <c:pt idx="18">
                  <c:v>Puerto Salgar</c:v>
                </c:pt>
                <c:pt idx="19">
                  <c:v>Albán</c:v>
                </c:pt>
                <c:pt idx="20">
                  <c:v>La Peña</c:v>
                </c:pt>
                <c:pt idx="21">
                  <c:v>La Vega</c:v>
                </c:pt>
                <c:pt idx="22">
                  <c:v>Nimaima</c:v>
                </c:pt>
                <c:pt idx="23">
                  <c:v>Nocaima</c:v>
                </c:pt>
                <c:pt idx="24">
                  <c:v>Quebradanegra</c:v>
                </c:pt>
                <c:pt idx="25">
                  <c:v>San Francisco</c:v>
                </c:pt>
                <c:pt idx="26">
                  <c:v>Sasaima</c:v>
                </c:pt>
                <c:pt idx="27">
                  <c:v>Supatá</c:v>
                </c:pt>
                <c:pt idx="28">
                  <c:v>Útica</c:v>
                </c:pt>
                <c:pt idx="29">
                  <c:v>Vergara</c:v>
                </c:pt>
                <c:pt idx="30">
                  <c:v>Villeta</c:v>
                </c:pt>
                <c:pt idx="31">
                  <c:v>Gachala</c:v>
                </c:pt>
                <c:pt idx="32">
                  <c:v>Gachetá</c:v>
                </c:pt>
                <c:pt idx="33">
                  <c:v>Gama</c:v>
                </c:pt>
                <c:pt idx="34">
                  <c:v>Guasca</c:v>
                </c:pt>
                <c:pt idx="35">
                  <c:v>Guatavita</c:v>
                </c:pt>
                <c:pt idx="36">
                  <c:v>Junín</c:v>
                </c:pt>
                <c:pt idx="37">
                  <c:v>La Calera</c:v>
                </c:pt>
                <c:pt idx="38">
                  <c:v>Ubalá</c:v>
                </c:pt>
                <c:pt idx="39">
                  <c:v>Beltrán</c:v>
                </c:pt>
                <c:pt idx="40">
                  <c:v>Bituima</c:v>
                </c:pt>
                <c:pt idx="41">
                  <c:v>Chaguaní</c:v>
                </c:pt>
                <c:pt idx="42">
                  <c:v>Guayabal de Siquima</c:v>
                </c:pt>
                <c:pt idx="43">
                  <c:v>Pulí</c:v>
                </c:pt>
                <c:pt idx="44">
                  <c:v>San Juan de Río Seco</c:v>
                </c:pt>
                <c:pt idx="45">
                  <c:v>Vianí</c:v>
                </c:pt>
                <c:pt idx="46">
                  <c:v>Medina</c:v>
                </c:pt>
                <c:pt idx="47">
                  <c:v>Paratebueno</c:v>
                </c:pt>
                <c:pt idx="48">
                  <c:v>Caqueza</c:v>
                </c:pt>
                <c:pt idx="49">
                  <c:v>Chipaque</c:v>
                </c:pt>
                <c:pt idx="50">
                  <c:v>Choachí</c:v>
                </c:pt>
                <c:pt idx="51">
                  <c:v>Fomeque</c:v>
                </c:pt>
                <c:pt idx="52">
                  <c:v>Fosca</c:v>
                </c:pt>
                <c:pt idx="53">
                  <c:v>Guayabetal</c:v>
                </c:pt>
                <c:pt idx="54">
                  <c:v>Gutíerrez</c:v>
                </c:pt>
                <c:pt idx="55">
                  <c:v>Quetame</c:v>
                </c:pt>
                <c:pt idx="56">
                  <c:v>Ubaque</c:v>
                </c:pt>
                <c:pt idx="57">
                  <c:v>Une</c:v>
                </c:pt>
                <c:pt idx="58">
                  <c:v>El Peñón</c:v>
                </c:pt>
                <c:pt idx="59">
                  <c:v>La Palma</c:v>
                </c:pt>
                <c:pt idx="60">
                  <c:v>Pacho</c:v>
                </c:pt>
                <c:pt idx="61">
                  <c:v>Paime</c:v>
                </c:pt>
                <c:pt idx="62">
                  <c:v>San Cayetano</c:v>
                </c:pt>
                <c:pt idx="63">
                  <c:v>Topaipí</c:v>
                </c:pt>
                <c:pt idx="64">
                  <c:v>Villagómez</c:v>
                </c:pt>
                <c:pt idx="65">
                  <c:v>Yacopí</c:v>
                </c:pt>
                <c:pt idx="66">
                  <c:v>Cajicá</c:v>
                </c:pt>
                <c:pt idx="67">
                  <c:v>Chía</c:v>
                </c:pt>
                <c:pt idx="68">
                  <c:v>Cogua</c:v>
                </c:pt>
                <c:pt idx="69">
                  <c:v>Cota</c:v>
                </c:pt>
                <c:pt idx="70">
                  <c:v>Gachancipá</c:v>
                </c:pt>
                <c:pt idx="71">
                  <c:v>Nemocón</c:v>
                </c:pt>
                <c:pt idx="72">
                  <c:v>Sopó</c:v>
                </c:pt>
                <c:pt idx="73">
                  <c:v>Tabio</c:v>
                </c:pt>
                <c:pt idx="74">
                  <c:v>Tenjo</c:v>
                </c:pt>
                <c:pt idx="75">
                  <c:v>Tocancipá</c:v>
                </c:pt>
                <c:pt idx="76">
                  <c:v>Bojacá</c:v>
                </c:pt>
                <c:pt idx="77">
                  <c:v>El Rosal</c:v>
                </c:pt>
                <c:pt idx="78">
                  <c:v>Facatativá</c:v>
                </c:pt>
                <c:pt idx="79">
                  <c:v>Funza</c:v>
                </c:pt>
                <c:pt idx="80">
                  <c:v>Madrid</c:v>
                </c:pt>
                <c:pt idx="81">
                  <c:v>Mosquera</c:v>
                </c:pt>
                <c:pt idx="82">
                  <c:v>Subachoque</c:v>
                </c:pt>
                <c:pt idx="83">
                  <c:v>Zipacón</c:v>
                </c:pt>
                <c:pt idx="84">
                  <c:v>Zipaquirá</c:v>
                </c:pt>
                <c:pt idx="85">
                  <c:v>Sibaté</c:v>
                </c:pt>
                <c:pt idx="86">
                  <c:v>Soacha</c:v>
                </c:pt>
                <c:pt idx="87">
                  <c:v>Arbeláez</c:v>
                </c:pt>
                <c:pt idx="88">
                  <c:v>Cabrera</c:v>
                </c:pt>
                <c:pt idx="89">
                  <c:v>Fusagasugá</c:v>
                </c:pt>
                <c:pt idx="90">
                  <c:v>Granada</c:v>
                </c:pt>
                <c:pt idx="91">
                  <c:v>Pandi</c:v>
                </c:pt>
                <c:pt idx="92">
                  <c:v>Pasca</c:v>
                </c:pt>
                <c:pt idx="93">
                  <c:v>San Bernardo</c:v>
                </c:pt>
                <c:pt idx="94">
                  <c:v>Silvania</c:v>
                </c:pt>
                <c:pt idx="95">
                  <c:v>Tibacuy</c:v>
                </c:pt>
                <c:pt idx="96">
                  <c:v>Venecia</c:v>
                </c:pt>
                <c:pt idx="97">
                  <c:v>Anapoima</c:v>
                </c:pt>
                <c:pt idx="98">
                  <c:v>Anolaima</c:v>
                </c:pt>
                <c:pt idx="99">
                  <c:v>Apulo</c:v>
                </c:pt>
                <c:pt idx="100">
                  <c:v>Cachipay</c:v>
                </c:pt>
                <c:pt idx="101">
                  <c:v>El Colegio</c:v>
                </c:pt>
                <c:pt idx="102">
                  <c:v>La Mesa</c:v>
                </c:pt>
                <c:pt idx="103">
                  <c:v>Quipile</c:v>
                </c:pt>
                <c:pt idx="104">
                  <c:v>San Antonio del Tequendama</c:v>
                </c:pt>
                <c:pt idx="105">
                  <c:v>Tena</c:v>
                </c:pt>
                <c:pt idx="106">
                  <c:v>Viotá</c:v>
                </c:pt>
                <c:pt idx="107">
                  <c:v>Carmen de Carupa</c:v>
                </c:pt>
                <c:pt idx="108">
                  <c:v>Cucunubá</c:v>
                </c:pt>
                <c:pt idx="109">
                  <c:v>Fúquene</c:v>
                </c:pt>
                <c:pt idx="110">
                  <c:v>Guachetá</c:v>
                </c:pt>
                <c:pt idx="111">
                  <c:v>Lenguazaque</c:v>
                </c:pt>
                <c:pt idx="112">
                  <c:v>Simijaca</c:v>
                </c:pt>
                <c:pt idx="113">
                  <c:v>Susa</c:v>
                </c:pt>
                <c:pt idx="114">
                  <c:v>Sutatausa</c:v>
                </c:pt>
                <c:pt idx="115">
                  <c:v>Tausa</c:v>
                </c:pt>
                <c:pt idx="116">
                  <c:v>Villa de San Diego de Ubate</c:v>
                </c:pt>
              </c:strCache>
            </c:strRef>
          </c:cat>
          <c:val>
            <c:numRef>
              <c:f>'MUNICIPIOS G'!$K$3:$K$120</c:f>
              <c:numCache>
                <c:formatCode>_-* #,##0\ _€_-;\-* #,##0\ _€_-;_-* "-"\ _€_-;_-@_-</c:formatCode>
                <c:ptCount val="117"/>
                <c:pt idx="1">
                  <c:v>2737477719.4325609</c:v>
                </c:pt>
                <c:pt idx="2">
                  <c:v>733126300.06417561</c:v>
                </c:pt>
                <c:pt idx="3">
                  <c:v>532938354.92937446</c:v>
                </c:pt>
                <c:pt idx="4">
                  <c:v>1700540442.9561899</c:v>
                </c:pt>
                <c:pt idx="5">
                  <c:v>1591324933.5595279</c:v>
                </c:pt>
                <c:pt idx="6">
                  <c:v>628348503.87958694</c:v>
                </c:pt>
                <c:pt idx="7">
                  <c:v>1733223513.3391352</c:v>
                </c:pt>
                <c:pt idx="8">
                  <c:v>1142358854.7551546</c:v>
                </c:pt>
                <c:pt idx="9">
                  <c:v>145887.4095375</c:v>
                </c:pt>
                <c:pt idx="10">
                  <c:v>295306704.37323201</c:v>
                </c:pt>
                <c:pt idx="11">
                  <c:v>306512425.82424176</c:v>
                </c:pt>
                <c:pt idx="12">
                  <c:v>247583177.82898241</c:v>
                </c:pt>
                <c:pt idx="13">
                  <c:v>1590727635.8724902</c:v>
                </c:pt>
                <c:pt idx="14">
                  <c:v>1045027431.0716636</c:v>
                </c:pt>
                <c:pt idx="15">
                  <c:v>1863094419.4143395</c:v>
                </c:pt>
                <c:pt idx="16">
                  <c:v>1900448118.3881536</c:v>
                </c:pt>
                <c:pt idx="17">
                  <c:v>4769473846.275753</c:v>
                </c:pt>
                <c:pt idx="18">
                  <c:v>1840820597.0001283</c:v>
                </c:pt>
                <c:pt idx="19">
                  <c:v>856094096.46397591</c:v>
                </c:pt>
                <c:pt idx="20">
                  <c:v>798164590.38583398</c:v>
                </c:pt>
                <c:pt idx="21">
                  <c:v>1411499118.6764233</c:v>
                </c:pt>
                <c:pt idx="22">
                  <c:v>940303867.07332778</c:v>
                </c:pt>
                <c:pt idx="23">
                  <c:v>902295073.62291157</c:v>
                </c:pt>
                <c:pt idx="24">
                  <c:v>537464918.40985441</c:v>
                </c:pt>
                <c:pt idx="25">
                  <c:v>1063621899.47886</c:v>
                </c:pt>
                <c:pt idx="26">
                  <c:v>1190255446.592536</c:v>
                </c:pt>
                <c:pt idx="27">
                  <c:v>851412624.71118712</c:v>
                </c:pt>
                <c:pt idx="28">
                  <c:v>567232851.32430792</c:v>
                </c:pt>
                <c:pt idx="29">
                  <c:v>871847613.54244804</c:v>
                </c:pt>
                <c:pt idx="30">
                  <c:v>1875876109.5850163</c:v>
                </c:pt>
                <c:pt idx="31">
                  <c:v>1063961021.74527</c:v>
                </c:pt>
                <c:pt idx="32">
                  <c:v>1245024980.320142</c:v>
                </c:pt>
                <c:pt idx="33">
                  <c:v>686137667.31420207</c:v>
                </c:pt>
                <c:pt idx="34">
                  <c:v>1269217505.0780222</c:v>
                </c:pt>
                <c:pt idx="35">
                  <c:v>892871985.79689384</c:v>
                </c:pt>
                <c:pt idx="36">
                  <c:v>1190887998.3443439</c:v>
                </c:pt>
                <c:pt idx="37">
                  <c:v>1624525273.415998</c:v>
                </c:pt>
                <c:pt idx="38">
                  <c:v>1389643444.6087351</c:v>
                </c:pt>
                <c:pt idx="39">
                  <c:v>516716208.69947326</c:v>
                </c:pt>
                <c:pt idx="40">
                  <c:v>561549461.38420796</c:v>
                </c:pt>
                <c:pt idx="41">
                  <c:v>454036560.1303972</c:v>
                </c:pt>
                <c:pt idx="42">
                  <c:v>653851267.65356052</c:v>
                </c:pt>
                <c:pt idx="43">
                  <c:v>848081566.56418216</c:v>
                </c:pt>
                <c:pt idx="44">
                  <c:v>1281976090.7609105</c:v>
                </c:pt>
                <c:pt idx="45">
                  <c:v>743067671.25382423</c:v>
                </c:pt>
                <c:pt idx="46">
                  <c:v>1143482378.2294321</c:v>
                </c:pt>
                <c:pt idx="47">
                  <c:v>872321755.96025872</c:v>
                </c:pt>
                <c:pt idx="48">
                  <c:v>1708785047.2928548</c:v>
                </c:pt>
                <c:pt idx="49">
                  <c:v>1123002633.1392491</c:v>
                </c:pt>
                <c:pt idx="50">
                  <c:v>1196922247.8550744</c:v>
                </c:pt>
                <c:pt idx="51">
                  <c:v>1405125124.0039566</c:v>
                </c:pt>
                <c:pt idx="52">
                  <c:v>834015360.24036276</c:v>
                </c:pt>
                <c:pt idx="53">
                  <c:v>827354439.3088963</c:v>
                </c:pt>
                <c:pt idx="54">
                  <c:v>451653637.82390189</c:v>
                </c:pt>
                <c:pt idx="55">
                  <c:v>800262981.28854489</c:v>
                </c:pt>
                <c:pt idx="56">
                  <c:v>967509516.47754288</c:v>
                </c:pt>
                <c:pt idx="57">
                  <c:v>1134079933.4382615</c:v>
                </c:pt>
                <c:pt idx="58">
                  <c:v>549379712.68132615</c:v>
                </c:pt>
                <c:pt idx="59">
                  <c:v>1201336760.3916352</c:v>
                </c:pt>
                <c:pt idx="60">
                  <c:v>2029339359.8527114</c:v>
                </c:pt>
                <c:pt idx="61">
                  <c:v>529982048.02546334</c:v>
                </c:pt>
                <c:pt idx="62">
                  <c:v>606630508.20434642</c:v>
                </c:pt>
                <c:pt idx="63">
                  <c:v>518640431.38922793</c:v>
                </c:pt>
                <c:pt idx="64">
                  <c:v>246456034.54436556</c:v>
                </c:pt>
                <c:pt idx="65">
                  <c:v>1915733529.875973</c:v>
                </c:pt>
                <c:pt idx="66">
                  <c:v>0</c:v>
                </c:pt>
                <c:pt idx="67">
                  <c:v>0</c:v>
                </c:pt>
                <c:pt idx="68">
                  <c:v>1512383173.6801796</c:v>
                </c:pt>
                <c:pt idx="69">
                  <c:v>0</c:v>
                </c:pt>
                <c:pt idx="70">
                  <c:v>1300704831.0495777</c:v>
                </c:pt>
                <c:pt idx="71">
                  <c:v>1951274048.1594923</c:v>
                </c:pt>
                <c:pt idx="72">
                  <c:v>1347252910.7586422</c:v>
                </c:pt>
                <c:pt idx="73">
                  <c:v>1540631938.5850039</c:v>
                </c:pt>
                <c:pt idx="74">
                  <c:v>1452879262.3686502</c:v>
                </c:pt>
                <c:pt idx="75">
                  <c:v>630.64185519359705</c:v>
                </c:pt>
                <c:pt idx="76">
                  <c:v>1135634425.1099565</c:v>
                </c:pt>
                <c:pt idx="77">
                  <c:v>1552775630.3800349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1198858947.2936544</c:v>
                </c:pt>
                <c:pt idx="83">
                  <c:v>870559627.40230322</c:v>
                </c:pt>
                <c:pt idx="84">
                  <c:v>1570699750.3556206</c:v>
                </c:pt>
                <c:pt idx="85">
                  <c:v>2154561391.7809939</c:v>
                </c:pt>
                <c:pt idx="86">
                  <c:v>0</c:v>
                </c:pt>
                <c:pt idx="87">
                  <c:v>1305797546.0978122</c:v>
                </c:pt>
                <c:pt idx="88">
                  <c:v>515943025.36727744</c:v>
                </c:pt>
                <c:pt idx="89">
                  <c:v>0</c:v>
                </c:pt>
                <c:pt idx="90">
                  <c:v>912019258.35715604</c:v>
                </c:pt>
                <c:pt idx="91">
                  <c:v>638605561.45219898</c:v>
                </c:pt>
                <c:pt idx="92">
                  <c:v>1311798944.5460148</c:v>
                </c:pt>
                <c:pt idx="93">
                  <c:v>1234532719.7419026</c:v>
                </c:pt>
                <c:pt idx="94">
                  <c:v>1835623075.8304796</c:v>
                </c:pt>
                <c:pt idx="95">
                  <c:v>548661654.59622383</c:v>
                </c:pt>
                <c:pt idx="96">
                  <c:v>670697353.6323117</c:v>
                </c:pt>
                <c:pt idx="97">
                  <c:v>1448408059.9130816</c:v>
                </c:pt>
                <c:pt idx="98">
                  <c:v>1356942312.2316999</c:v>
                </c:pt>
                <c:pt idx="99">
                  <c:v>888303975.13611507</c:v>
                </c:pt>
                <c:pt idx="100">
                  <c:v>1076644586.2100716</c:v>
                </c:pt>
                <c:pt idx="101">
                  <c:v>1718974766.3282738</c:v>
                </c:pt>
                <c:pt idx="102">
                  <c:v>2204919622.3321705</c:v>
                </c:pt>
                <c:pt idx="103">
                  <c:v>928708091.54350185</c:v>
                </c:pt>
                <c:pt idx="104">
                  <c:v>1402801653.7714601</c:v>
                </c:pt>
                <c:pt idx="105">
                  <c:v>1046085220.2287614</c:v>
                </c:pt>
                <c:pt idx="106">
                  <c:v>1519202526.6173916</c:v>
                </c:pt>
                <c:pt idx="107">
                  <c:v>1019407460.0138628</c:v>
                </c:pt>
                <c:pt idx="108">
                  <c:v>1533411193.5062747</c:v>
                </c:pt>
                <c:pt idx="109">
                  <c:v>787679701.84386134</c:v>
                </c:pt>
                <c:pt idx="110">
                  <c:v>2356990244.9386134</c:v>
                </c:pt>
                <c:pt idx="111">
                  <c:v>1892972369.6588089</c:v>
                </c:pt>
                <c:pt idx="112">
                  <c:v>1264354868.8212395</c:v>
                </c:pt>
                <c:pt idx="113">
                  <c:v>1382119029.1971488</c:v>
                </c:pt>
                <c:pt idx="114">
                  <c:v>1488107477.2698827</c:v>
                </c:pt>
                <c:pt idx="115">
                  <c:v>1344586469.7819309</c:v>
                </c:pt>
                <c:pt idx="116">
                  <c:v>2413941844.1390371</c:v>
                </c:pt>
              </c:numCache>
            </c:numRef>
          </c:val>
        </c:ser>
        <c:ser>
          <c:idx val="9"/>
          <c:order val="9"/>
          <c:tx>
            <c:strRef>
              <c:f>'MUNICIPIOS G'!$L$2</c:f>
              <c:strCache>
                <c:ptCount val="1"/>
                <c:pt idx="0">
                  <c:v>SALDO POR EJECUTAR REGALIAS</c:v>
                </c:pt>
              </c:strCache>
            </c:strRef>
          </c:tx>
          <c:invertIfNegative val="0"/>
          <c:dLbls>
            <c:dLbl>
              <c:idx val="72"/>
              <c:layout>
                <c:manualLayout>
                  <c:x val="7.5802992746262024E-2"/>
                  <c:y val="4.8078596581919523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'MUNICIPIOS G'!$B$3:$B$120</c:f>
              <c:strCache>
                <c:ptCount val="117"/>
                <c:pt idx="1">
                  <c:v>Chocontá</c:v>
                </c:pt>
                <c:pt idx="2">
                  <c:v>Macheta</c:v>
                </c:pt>
                <c:pt idx="3">
                  <c:v>Manta</c:v>
                </c:pt>
                <c:pt idx="4">
                  <c:v>Sesquilé</c:v>
                </c:pt>
                <c:pt idx="5">
                  <c:v>Suesca</c:v>
                </c:pt>
                <c:pt idx="6">
                  <c:v>Tibirita</c:v>
                </c:pt>
                <c:pt idx="7">
                  <c:v>Villapinzón</c:v>
                </c:pt>
                <c:pt idx="8">
                  <c:v>Agua de Dios</c:v>
                </c:pt>
                <c:pt idx="9">
                  <c:v>Girardot</c:v>
                </c:pt>
                <c:pt idx="10">
                  <c:v>Guataquí</c:v>
                </c:pt>
                <c:pt idx="11">
                  <c:v>Jerusalén</c:v>
                </c:pt>
                <c:pt idx="12">
                  <c:v>Nariño</c:v>
                </c:pt>
                <c:pt idx="13">
                  <c:v>Nilo</c:v>
                </c:pt>
                <c:pt idx="14">
                  <c:v>Ricaurte</c:v>
                </c:pt>
                <c:pt idx="15">
                  <c:v>Tocaima</c:v>
                </c:pt>
                <c:pt idx="16">
                  <c:v>Caparrapí</c:v>
                </c:pt>
                <c:pt idx="17">
                  <c:v>Guaduas</c:v>
                </c:pt>
                <c:pt idx="18">
                  <c:v>Puerto Salgar</c:v>
                </c:pt>
                <c:pt idx="19">
                  <c:v>Albán</c:v>
                </c:pt>
                <c:pt idx="20">
                  <c:v>La Peña</c:v>
                </c:pt>
                <c:pt idx="21">
                  <c:v>La Vega</c:v>
                </c:pt>
                <c:pt idx="22">
                  <c:v>Nimaima</c:v>
                </c:pt>
                <c:pt idx="23">
                  <c:v>Nocaima</c:v>
                </c:pt>
                <c:pt idx="24">
                  <c:v>Quebradanegra</c:v>
                </c:pt>
                <c:pt idx="25">
                  <c:v>San Francisco</c:v>
                </c:pt>
                <c:pt idx="26">
                  <c:v>Sasaima</c:v>
                </c:pt>
                <c:pt idx="27">
                  <c:v>Supatá</c:v>
                </c:pt>
                <c:pt idx="28">
                  <c:v>Útica</c:v>
                </c:pt>
                <c:pt idx="29">
                  <c:v>Vergara</c:v>
                </c:pt>
                <c:pt idx="30">
                  <c:v>Villeta</c:v>
                </c:pt>
                <c:pt idx="31">
                  <c:v>Gachala</c:v>
                </c:pt>
                <c:pt idx="32">
                  <c:v>Gachetá</c:v>
                </c:pt>
                <c:pt idx="33">
                  <c:v>Gama</c:v>
                </c:pt>
                <c:pt idx="34">
                  <c:v>Guasca</c:v>
                </c:pt>
                <c:pt idx="35">
                  <c:v>Guatavita</c:v>
                </c:pt>
                <c:pt idx="36">
                  <c:v>Junín</c:v>
                </c:pt>
                <c:pt idx="37">
                  <c:v>La Calera</c:v>
                </c:pt>
                <c:pt idx="38">
                  <c:v>Ubalá</c:v>
                </c:pt>
                <c:pt idx="39">
                  <c:v>Beltrán</c:v>
                </c:pt>
                <c:pt idx="40">
                  <c:v>Bituima</c:v>
                </c:pt>
                <c:pt idx="41">
                  <c:v>Chaguaní</c:v>
                </c:pt>
                <c:pt idx="42">
                  <c:v>Guayabal de Siquima</c:v>
                </c:pt>
                <c:pt idx="43">
                  <c:v>Pulí</c:v>
                </c:pt>
                <c:pt idx="44">
                  <c:v>San Juan de Río Seco</c:v>
                </c:pt>
                <c:pt idx="45">
                  <c:v>Vianí</c:v>
                </c:pt>
                <c:pt idx="46">
                  <c:v>Medina</c:v>
                </c:pt>
                <c:pt idx="47">
                  <c:v>Paratebueno</c:v>
                </c:pt>
                <c:pt idx="48">
                  <c:v>Caqueza</c:v>
                </c:pt>
                <c:pt idx="49">
                  <c:v>Chipaque</c:v>
                </c:pt>
                <c:pt idx="50">
                  <c:v>Choachí</c:v>
                </c:pt>
                <c:pt idx="51">
                  <c:v>Fomeque</c:v>
                </c:pt>
                <c:pt idx="52">
                  <c:v>Fosca</c:v>
                </c:pt>
                <c:pt idx="53">
                  <c:v>Guayabetal</c:v>
                </c:pt>
                <c:pt idx="54">
                  <c:v>Gutíerrez</c:v>
                </c:pt>
                <c:pt idx="55">
                  <c:v>Quetame</c:v>
                </c:pt>
                <c:pt idx="56">
                  <c:v>Ubaque</c:v>
                </c:pt>
                <c:pt idx="57">
                  <c:v>Une</c:v>
                </c:pt>
                <c:pt idx="58">
                  <c:v>El Peñón</c:v>
                </c:pt>
                <c:pt idx="59">
                  <c:v>La Palma</c:v>
                </c:pt>
                <c:pt idx="60">
                  <c:v>Pacho</c:v>
                </c:pt>
                <c:pt idx="61">
                  <c:v>Paime</c:v>
                </c:pt>
                <c:pt idx="62">
                  <c:v>San Cayetano</c:v>
                </c:pt>
                <c:pt idx="63">
                  <c:v>Topaipí</c:v>
                </c:pt>
                <c:pt idx="64">
                  <c:v>Villagómez</c:v>
                </c:pt>
                <c:pt idx="65">
                  <c:v>Yacopí</c:v>
                </c:pt>
                <c:pt idx="66">
                  <c:v>Cajicá</c:v>
                </c:pt>
                <c:pt idx="67">
                  <c:v>Chía</c:v>
                </c:pt>
                <c:pt idx="68">
                  <c:v>Cogua</c:v>
                </c:pt>
                <c:pt idx="69">
                  <c:v>Cota</c:v>
                </c:pt>
                <c:pt idx="70">
                  <c:v>Gachancipá</c:v>
                </c:pt>
                <c:pt idx="71">
                  <c:v>Nemocón</c:v>
                </c:pt>
                <c:pt idx="72">
                  <c:v>Sopó</c:v>
                </c:pt>
                <c:pt idx="73">
                  <c:v>Tabio</c:v>
                </c:pt>
                <c:pt idx="74">
                  <c:v>Tenjo</c:v>
                </c:pt>
                <c:pt idx="75">
                  <c:v>Tocancipá</c:v>
                </c:pt>
                <c:pt idx="76">
                  <c:v>Bojacá</c:v>
                </c:pt>
                <c:pt idx="77">
                  <c:v>El Rosal</c:v>
                </c:pt>
                <c:pt idx="78">
                  <c:v>Facatativá</c:v>
                </c:pt>
                <c:pt idx="79">
                  <c:v>Funza</c:v>
                </c:pt>
                <c:pt idx="80">
                  <c:v>Madrid</c:v>
                </c:pt>
                <c:pt idx="81">
                  <c:v>Mosquera</c:v>
                </c:pt>
                <c:pt idx="82">
                  <c:v>Subachoque</c:v>
                </c:pt>
                <c:pt idx="83">
                  <c:v>Zipacón</c:v>
                </c:pt>
                <c:pt idx="84">
                  <c:v>Zipaquirá</c:v>
                </c:pt>
                <c:pt idx="85">
                  <c:v>Sibaté</c:v>
                </c:pt>
                <c:pt idx="86">
                  <c:v>Soacha</c:v>
                </c:pt>
                <c:pt idx="87">
                  <c:v>Arbeláez</c:v>
                </c:pt>
                <c:pt idx="88">
                  <c:v>Cabrera</c:v>
                </c:pt>
                <c:pt idx="89">
                  <c:v>Fusagasugá</c:v>
                </c:pt>
                <c:pt idx="90">
                  <c:v>Granada</c:v>
                </c:pt>
                <c:pt idx="91">
                  <c:v>Pandi</c:v>
                </c:pt>
                <c:pt idx="92">
                  <c:v>Pasca</c:v>
                </c:pt>
                <c:pt idx="93">
                  <c:v>San Bernardo</c:v>
                </c:pt>
                <c:pt idx="94">
                  <c:v>Silvania</c:v>
                </c:pt>
                <c:pt idx="95">
                  <c:v>Tibacuy</c:v>
                </c:pt>
                <c:pt idx="96">
                  <c:v>Venecia</c:v>
                </c:pt>
                <c:pt idx="97">
                  <c:v>Anapoima</c:v>
                </c:pt>
                <c:pt idx="98">
                  <c:v>Anolaima</c:v>
                </c:pt>
                <c:pt idx="99">
                  <c:v>Apulo</c:v>
                </c:pt>
                <c:pt idx="100">
                  <c:v>Cachipay</c:v>
                </c:pt>
                <c:pt idx="101">
                  <c:v>El Colegio</c:v>
                </c:pt>
                <c:pt idx="102">
                  <c:v>La Mesa</c:v>
                </c:pt>
                <c:pt idx="103">
                  <c:v>Quipile</c:v>
                </c:pt>
                <c:pt idx="104">
                  <c:v>San Antonio del Tequendama</c:v>
                </c:pt>
                <c:pt idx="105">
                  <c:v>Tena</c:v>
                </c:pt>
                <c:pt idx="106">
                  <c:v>Viotá</c:v>
                </c:pt>
                <c:pt idx="107">
                  <c:v>Carmen de Carupa</c:v>
                </c:pt>
                <c:pt idx="108">
                  <c:v>Cucunubá</c:v>
                </c:pt>
                <c:pt idx="109">
                  <c:v>Fúquene</c:v>
                </c:pt>
                <c:pt idx="110">
                  <c:v>Guachetá</c:v>
                </c:pt>
                <c:pt idx="111">
                  <c:v>Lenguazaque</c:v>
                </c:pt>
                <c:pt idx="112">
                  <c:v>Simijaca</c:v>
                </c:pt>
                <c:pt idx="113">
                  <c:v>Susa</c:v>
                </c:pt>
                <c:pt idx="114">
                  <c:v>Sutatausa</c:v>
                </c:pt>
                <c:pt idx="115">
                  <c:v>Tausa</c:v>
                </c:pt>
                <c:pt idx="116">
                  <c:v>Villa de San Diego de Ubate</c:v>
                </c:pt>
              </c:strCache>
            </c:strRef>
          </c:cat>
          <c:val>
            <c:numRef>
              <c:f>'MUNICIPIOS G'!$L$3:$L$120</c:f>
              <c:numCache>
                <c:formatCode>_-* #,##0\ _€_-;\-* #,##0\ _€_-;_-* "-"\ _€_-;_-@_-</c:formatCode>
                <c:ptCount val="117"/>
                <c:pt idx="1">
                  <c:v>1120242360.4325609</c:v>
                </c:pt>
                <c:pt idx="2">
                  <c:v>563126300.06417561</c:v>
                </c:pt>
                <c:pt idx="3">
                  <c:v>86784758.929374456</c:v>
                </c:pt>
                <c:pt idx="4">
                  <c:v>674983921.95618987</c:v>
                </c:pt>
                <c:pt idx="5">
                  <c:v>521324933.55952787</c:v>
                </c:pt>
                <c:pt idx="6">
                  <c:v>184636926.87958694</c:v>
                </c:pt>
                <c:pt idx="7">
                  <c:v>947431299.33913517</c:v>
                </c:pt>
                <c:pt idx="8">
                  <c:v>725834167.75515461</c:v>
                </c:pt>
                <c:pt idx="9">
                  <c:v>145887.4095375</c:v>
                </c:pt>
                <c:pt idx="10">
                  <c:v>295306704.37323201</c:v>
                </c:pt>
                <c:pt idx="11">
                  <c:v>40878788.824241757</c:v>
                </c:pt>
                <c:pt idx="12">
                  <c:v>247583177.82898241</c:v>
                </c:pt>
                <c:pt idx="13">
                  <c:v>1175783083.8724902</c:v>
                </c:pt>
                <c:pt idx="14">
                  <c:v>198352879.07166362</c:v>
                </c:pt>
                <c:pt idx="15">
                  <c:v>1489772269.4143395</c:v>
                </c:pt>
                <c:pt idx="16">
                  <c:v>1327082432.3881536</c:v>
                </c:pt>
                <c:pt idx="17">
                  <c:v>2988299169.275753</c:v>
                </c:pt>
                <c:pt idx="18">
                  <c:v>1810820597.0001283</c:v>
                </c:pt>
                <c:pt idx="19">
                  <c:v>586094096.46397591</c:v>
                </c:pt>
                <c:pt idx="20">
                  <c:v>505164590.38583398</c:v>
                </c:pt>
                <c:pt idx="21">
                  <c:v>738499118.67642331</c:v>
                </c:pt>
                <c:pt idx="22">
                  <c:v>651803867.07332778</c:v>
                </c:pt>
                <c:pt idx="23">
                  <c:v>236322821.62291157</c:v>
                </c:pt>
                <c:pt idx="24">
                  <c:v>177464918.40985441</c:v>
                </c:pt>
                <c:pt idx="25">
                  <c:v>811611899.47886002</c:v>
                </c:pt>
                <c:pt idx="26">
                  <c:v>950255446.59253597</c:v>
                </c:pt>
                <c:pt idx="27">
                  <c:v>463587833.71118712</c:v>
                </c:pt>
                <c:pt idx="28">
                  <c:v>83551439.324307919</c:v>
                </c:pt>
                <c:pt idx="29">
                  <c:v>189359994.54244804</c:v>
                </c:pt>
                <c:pt idx="30">
                  <c:v>509413469.58501625</c:v>
                </c:pt>
                <c:pt idx="31">
                  <c:v>136883383.74527001</c:v>
                </c:pt>
                <c:pt idx="32">
                  <c:v>192892954.32014203</c:v>
                </c:pt>
                <c:pt idx="33">
                  <c:v>686137667.31420207</c:v>
                </c:pt>
                <c:pt idx="34">
                  <c:v>834229704.07802224</c:v>
                </c:pt>
                <c:pt idx="35">
                  <c:v>655308839.79689384</c:v>
                </c:pt>
                <c:pt idx="36">
                  <c:v>875887998.3443439</c:v>
                </c:pt>
                <c:pt idx="37">
                  <c:v>1197525273.415998</c:v>
                </c:pt>
                <c:pt idx="38">
                  <c:v>1142903444.6087351</c:v>
                </c:pt>
                <c:pt idx="39">
                  <c:v>82716208.699473262</c:v>
                </c:pt>
                <c:pt idx="40">
                  <c:v>291549461.38420796</c:v>
                </c:pt>
                <c:pt idx="41">
                  <c:v>259036560.1303972</c:v>
                </c:pt>
                <c:pt idx="42">
                  <c:v>420851267.65356052</c:v>
                </c:pt>
                <c:pt idx="43">
                  <c:v>306881763.56418216</c:v>
                </c:pt>
                <c:pt idx="44">
                  <c:v>766976090.76091051</c:v>
                </c:pt>
                <c:pt idx="45">
                  <c:v>411362907.25382423</c:v>
                </c:pt>
                <c:pt idx="46">
                  <c:v>1143482378.2294321</c:v>
                </c:pt>
                <c:pt idx="47">
                  <c:v>638450074.96025872</c:v>
                </c:pt>
                <c:pt idx="48">
                  <c:v>907586601.29285479</c:v>
                </c:pt>
                <c:pt idx="49">
                  <c:v>824985554.13924909</c:v>
                </c:pt>
                <c:pt idx="50">
                  <c:v>723040710.85507441</c:v>
                </c:pt>
                <c:pt idx="51">
                  <c:v>623125124.00395656</c:v>
                </c:pt>
                <c:pt idx="52">
                  <c:v>-186984639.75963724</c:v>
                </c:pt>
                <c:pt idx="53">
                  <c:v>350125286.3088963</c:v>
                </c:pt>
                <c:pt idx="54">
                  <c:v>213653004.0339019</c:v>
                </c:pt>
                <c:pt idx="55">
                  <c:v>225874438.28854489</c:v>
                </c:pt>
                <c:pt idx="56">
                  <c:v>463361278.47754288</c:v>
                </c:pt>
                <c:pt idx="57">
                  <c:v>836080001.43826151</c:v>
                </c:pt>
                <c:pt idx="58">
                  <c:v>531379712.68132615</c:v>
                </c:pt>
                <c:pt idx="59">
                  <c:v>261027003.39163518</c:v>
                </c:pt>
                <c:pt idx="60">
                  <c:v>408630865.85271144</c:v>
                </c:pt>
                <c:pt idx="61">
                  <c:v>76892117.025463343</c:v>
                </c:pt>
                <c:pt idx="62">
                  <c:v>413480796.20434642</c:v>
                </c:pt>
                <c:pt idx="63">
                  <c:v>78390926.389227927</c:v>
                </c:pt>
                <c:pt idx="64">
                  <c:v>37036034.544365555</c:v>
                </c:pt>
                <c:pt idx="65">
                  <c:v>1850233529.875973</c:v>
                </c:pt>
                <c:pt idx="66">
                  <c:v>0</c:v>
                </c:pt>
                <c:pt idx="67">
                  <c:v>0</c:v>
                </c:pt>
                <c:pt idx="68">
                  <c:v>1372419167.6801796</c:v>
                </c:pt>
                <c:pt idx="69">
                  <c:v>0</c:v>
                </c:pt>
                <c:pt idx="70">
                  <c:v>192416680.04957771</c:v>
                </c:pt>
                <c:pt idx="71">
                  <c:v>306533558.15949225</c:v>
                </c:pt>
                <c:pt idx="72">
                  <c:v>425152982.7586422</c:v>
                </c:pt>
                <c:pt idx="73">
                  <c:v>1479807147.5850039</c:v>
                </c:pt>
                <c:pt idx="74">
                  <c:v>740541151.3686502</c:v>
                </c:pt>
                <c:pt idx="75">
                  <c:v>630.64185519359705</c:v>
                </c:pt>
                <c:pt idx="76">
                  <c:v>1010634425.1099565</c:v>
                </c:pt>
                <c:pt idx="77">
                  <c:v>1552775630.3800349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983158947.29365444</c:v>
                </c:pt>
                <c:pt idx="83">
                  <c:v>823237477.40230322</c:v>
                </c:pt>
                <c:pt idx="84">
                  <c:v>190699750.35562062</c:v>
                </c:pt>
                <c:pt idx="85">
                  <c:v>924754506.78099394</c:v>
                </c:pt>
                <c:pt idx="86">
                  <c:v>0</c:v>
                </c:pt>
                <c:pt idx="87">
                  <c:v>1305797546.0978122</c:v>
                </c:pt>
                <c:pt idx="88">
                  <c:v>75796269.367277443</c:v>
                </c:pt>
                <c:pt idx="89">
                  <c:v>0</c:v>
                </c:pt>
                <c:pt idx="90">
                  <c:v>134757114.35715604</c:v>
                </c:pt>
                <c:pt idx="91">
                  <c:v>347313271.45219898</c:v>
                </c:pt>
                <c:pt idx="92">
                  <c:v>853437045.54601479</c:v>
                </c:pt>
                <c:pt idx="93">
                  <c:v>427558245.74190259</c:v>
                </c:pt>
                <c:pt idx="94">
                  <c:v>1245300925.8304796</c:v>
                </c:pt>
                <c:pt idx="95">
                  <c:v>104898897.59622383</c:v>
                </c:pt>
                <c:pt idx="96">
                  <c:v>423375203.6323117</c:v>
                </c:pt>
                <c:pt idx="97">
                  <c:v>193780683.91308165</c:v>
                </c:pt>
                <c:pt idx="98">
                  <c:v>1116942312.2316999</c:v>
                </c:pt>
                <c:pt idx="99">
                  <c:v>549075922.13611507</c:v>
                </c:pt>
                <c:pt idx="100">
                  <c:v>741016693.21007156</c:v>
                </c:pt>
                <c:pt idx="101">
                  <c:v>979851702.32827377</c:v>
                </c:pt>
                <c:pt idx="102">
                  <c:v>1586506305.3321705</c:v>
                </c:pt>
                <c:pt idx="103">
                  <c:v>449450832.54350185</c:v>
                </c:pt>
                <c:pt idx="104">
                  <c:v>186507759.77146006</c:v>
                </c:pt>
                <c:pt idx="105">
                  <c:v>501356940.22876143</c:v>
                </c:pt>
                <c:pt idx="106">
                  <c:v>799202526.61739159</c:v>
                </c:pt>
                <c:pt idx="107">
                  <c:v>177347460.01386285</c:v>
                </c:pt>
                <c:pt idx="108">
                  <c:v>992674565.5062747</c:v>
                </c:pt>
                <c:pt idx="109">
                  <c:v>123144589.84386134</c:v>
                </c:pt>
                <c:pt idx="110">
                  <c:v>1056990244.9386134</c:v>
                </c:pt>
                <c:pt idx="111">
                  <c:v>1035972369.6588089</c:v>
                </c:pt>
                <c:pt idx="112">
                  <c:v>212701605.82123947</c:v>
                </c:pt>
                <c:pt idx="113">
                  <c:v>1021150473.1971488</c:v>
                </c:pt>
                <c:pt idx="114">
                  <c:v>715526926.26988268</c:v>
                </c:pt>
                <c:pt idx="115">
                  <c:v>424199011.78193092</c:v>
                </c:pt>
                <c:pt idx="116">
                  <c:v>1548639901.1390371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6949344"/>
        <c:axId val="116949904"/>
        <c:axId val="0"/>
      </c:bar3DChart>
      <c:catAx>
        <c:axId val="1169493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116949904"/>
        <c:crosses val="autoZero"/>
        <c:auto val="1"/>
        <c:lblAlgn val="ctr"/>
        <c:lblOffset val="100"/>
        <c:noMultiLvlLbl val="0"/>
      </c:catAx>
      <c:valAx>
        <c:axId val="11694990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1694934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GRAFICO EJECUCION RECURSOS SGR - OCAD MUNICIPALES VIGENCIA 2012-2014 POR PROVINCIAS DE CUNDINAMARCA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'PROVINCIAS G'!$E$2</c:f>
              <c:strCache>
                <c:ptCount val="1"/>
                <c:pt idx="0">
                  <c:v>VALOR APROBADO POR SGR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88505764170680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6972869264937161E-17"/>
                  <c:y val="4.4360430242193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712644104267002E-2"/>
                  <c:y val="7.39331963210644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4.8393196627845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1839085146937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4.234404704936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37932312802034E-3"/>
                  <c:y val="9.2753626870036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8.0655327713078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5.0409579820672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8.82758646256040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0789147705974742E-16"/>
                  <c:y val="7.2589794941767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chemeClr val="accent6">
                        <a:lumMod val="40000"/>
                        <a:lumOff val="60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'PROVINCIAS G'!$B$4:$B$19</c:f>
              <c:strCache>
                <c:ptCount val="16"/>
                <c:pt idx="0">
                  <c:v>ALMEIDAS</c:v>
                </c:pt>
                <c:pt idx="1">
                  <c:v>ALTO MAGDALENA</c:v>
                </c:pt>
                <c:pt idx="2">
                  <c:v>BAJO MAGDALENA</c:v>
                </c:pt>
                <c:pt idx="3">
                  <c:v>GUALIVA</c:v>
                </c:pt>
                <c:pt idx="4">
                  <c:v>GUAVIO</c:v>
                </c:pt>
                <c:pt idx="5">
                  <c:v>MAGDALENA CENTRO</c:v>
                </c:pt>
                <c:pt idx="6">
                  <c:v>MEDINA</c:v>
                </c:pt>
                <c:pt idx="7">
                  <c:v>ORIENTE</c:v>
                </c:pt>
                <c:pt idx="8">
                  <c:v>RIONEGRO</c:v>
                </c:pt>
                <c:pt idx="9">
                  <c:v>SABANA CENTRO</c:v>
                </c:pt>
                <c:pt idx="10">
                  <c:v>SABANA OCCIDENTE</c:v>
                </c:pt>
                <c:pt idx="11">
                  <c:v>SOACHA Y SIBATE</c:v>
                </c:pt>
                <c:pt idx="12">
                  <c:v>SUMAPAZ</c:v>
                </c:pt>
                <c:pt idx="13">
                  <c:v>TEQUENDAMA</c:v>
                </c:pt>
                <c:pt idx="14">
                  <c:v>UBATE</c:v>
                </c:pt>
                <c:pt idx="15">
                  <c:v>TOTAL</c:v>
                </c:pt>
              </c:strCache>
            </c:strRef>
          </c:cat>
          <c:val>
            <c:numRef>
              <c:f>'PROVINCIAS G'!$E$4:$E$18</c:f>
              <c:numCache>
                <c:formatCode>_ * #,##0_ ;_ * \-#,##0_ ;_ * "-"??_ ;_ @_ </c:formatCode>
                <c:ptCount val="15"/>
                <c:pt idx="0">
                  <c:v>5558449267</c:v>
                </c:pt>
                <c:pt idx="1">
                  <c:v>2317099578</c:v>
                </c:pt>
                <c:pt idx="2">
                  <c:v>2384540363</c:v>
                </c:pt>
                <c:pt idx="3">
                  <c:v>5962938714</c:v>
                </c:pt>
                <c:pt idx="4">
                  <c:v>3640500611</c:v>
                </c:pt>
                <c:pt idx="5">
                  <c:v>2519904567</c:v>
                </c:pt>
                <c:pt idx="6">
                  <c:v>233871681</c:v>
                </c:pt>
                <c:pt idx="7">
                  <c:v>5467863561.79</c:v>
                </c:pt>
                <c:pt idx="8">
                  <c:v>3940427399</c:v>
                </c:pt>
                <c:pt idx="9">
                  <c:v>4588255477</c:v>
                </c:pt>
                <c:pt idx="10">
                  <c:v>1768022150</c:v>
                </c:pt>
                <c:pt idx="11">
                  <c:v>1229806885</c:v>
                </c:pt>
                <c:pt idx="12">
                  <c:v>4055444620</c:v>
                </c:pt>
                <c:pt idx="13">
                  <c:v>52343030395.790001</c:v>
                </c:pt>
                <c:pt idx="14">
                  <c:v>8029921568</c:v>
                </c:pt>
              </c:numCache>
            </c:numRef>
          </c:val>
        </c:ser>
        <c:ser>
          <c:idx val="1"/>
          <c:order val="1"/>
          <c:tx>
            <c:strRef>
              <c:f>'PROVINCIAS G'!$C$2</c:f>
              <c:strCache>
                <c:ptCount val="1"/>
                <c:pt idx="0">
                  <c:v>TOTAL ASIGNADO DIRECTAS + ESPECIFICAS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6.0491495784806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4114682349788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712644104267003E-3"/>
                  <c:y val="4.0327663856539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183908514693705E-2"/>
                  <c:y val="6.0491495784806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712644104267003E-3"/>
                  <c:y val="1.4114682349788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2988508729869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35632205213365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chemeClr val="accent6">
                        <a:lumMod val="40000"/>
                        <a:lumOff val="60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'PROVINCIAS G'!$B$4:$B$19</c:f>
              <c:strCache>
                <c:ptCount val="16"/>
                <c:pt idx="0">
                  <c:v>ALMEIDAS</c:v>
                </c:pt>
                <c:pt idx="1">
                  <c:v>ALTO MAGDALENA</c:v>
                </c:pt>
                <c:pt idx="2">
                  <c:v>BAJO MAGDALENA</c:v>
                </c:pt>
                <c:pt idx="3">
                  <c:v>GUALIVA</c:v>
                </c:pt>
                <c:pt idx="4">
                  <c:v>GUAVIO</c:v>
                </c:pt>
                <c:pt idx="5">
                  <c:v>MAGDALENA CENTRO</c:v>
                </c:pt>
                <c:pt idx="6">
                  <c:v>MEDINA</c:v>
                </c:pt>
                <c:pt idx="7">
                  <c:v>ORIENTE</c:v>
                </c:pt>
                <c:pt idx="8">
                  <c:v>RIONEGRO</c:v>
                </c:pt>
                <c:pt idx="9">
                  <c:v>SABANA CENTRO</c:v>
                </c:pt>
                <c:pt idx="10">
                  <c:v>SABANA OCCIDENTE</c:v>
                </c:pt>
                <c:pt idx="11">
                  <c:v>SOACHA Y SIBATE</c:v>
                </c:pt>
                <c:pt idx="12">
                  <c:v>SUMAPAZ</c:v>
                </c:pt>
                <c:pt idx="13">
                  <c:v>TEQUENDAMA</c:v>
                </c:pt>
                <c:pt idx="14">
                  <c:v>UBATE</c:v>
                </c:pt>
                <c:pt idx="15">
                  <c:v>TOTAL</c:v>
                </c:pt>
              </c:strCache>
            </c:strRef>
          </c:cat>
          <c:val>
            <c:numRef>
              <c:f>'PROVINCIAS G'!$C$4:$C$18</c:f>
              <c:numCache>
                <c:formatCode>_ * #,##0_ ;_ * \-#,##0_ ;_ * "-"??_ ;_ @_ </c:formatCode>
                <c:ptCount val="15"/>
                <c:pt idx="0">
                  <c:v>9656979768.160553</c:v>
                </c:pt>
                <c:pt idx="1">
                  <c:v>6490756536.5496426</c:v>
                </c:pt>
                <c:pt idx="2">
                  <c:v>8510742561.6640339</c:v>
                </c:pt>
                <c:pt idx="3">
                  <c:v>11866068209.866682</c:v>
                </c:pt>
                <c:pt idx="4">
                  <c:v>9362269876.6236076</c:v>
                </c:pt>
                <c:pt idx="5">
                  <c:v>5059278826.4465561</c:v>
                </c:pt>
                <c:pt idx="6">
                  <c:v>2015804134.1896908</c:v>
                </c:pt>
                <c:pt idx="7">
                  <c:v>10448710920.868645</c:v>
                </c:pt>
                <c:pt idx="8">
                  <c:v>7597498384.9650488</c:v>
                </c:pt>
                <c:pt idx="9">
                  <c:v>9105126795.2434006</c:v>
                </c:pt>
                <c:pt idx="10">
                  <c:v>6328528380.5415697</c:v>
                </c:pt>
                <c:pt idx="11">
                  <c:v>2154561391.7809939</c:v>
                </c:pt>
                <c:pt idx="12">
                  <c:v>8973679139.621376</c:v>
                </c:pt>
                <c:pt idx="13">
                  <c:v>116131066914.03615</c:v>
                </c:pt>
                <c:pt idx="14">
                  <c:v>14588831341.649015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cylinder"/>
        <c:axId val="119567232"/>
        <c:axId val="119567792"/>
        <c:axId val="119100368"/>
      </c:bar3DChart>
      <c:catAx>
        <c:axId val="119567232"/>
        <c:scaling>
          <c:orientation val="minMax"/>
        </c:scaling>
        <c:delete val="0"/>
        <c:axPos val="b"/>
        <c:min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119567792"/>
        <c:crosses val="autoZero"/>
        <c:auto val="1"/>
        <c:lblAlgn val="ctr"/>
        <c:lblOffset val="100"/>
        <c:noMultiLvlLbl val="0"/>
      </c:catAx>
      <c:valAx>
        <c:axId val="119567792"/>
        <c:scaling>
          <c:orientation val="minMax"/>
        </c:scaling>
        <c:delete val="0"/>
        <c:axPos val="l"/>
        <c:majorGridlines/>
        <c:minorGridlines/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119567232"/>
        <c:crosses val="autoZero"/>
        <c:crossBetween val="between"/>
      </c:valAx>
      <c:serAx>
        <c:axId val="119100368"/>
        <c:scaling>
          <c:orientation val="minMax"/>
        </c:scaling>
        <c:delete val="1"/>
        <c:axPos val="b"/>
        <c:majorGridlines/>
        <c:majorTickMark val="none"/>
        <c:minorTickMark val="none"/>
        <c:tickLblPos val="nextTo"/>
        <c:crossAx val="119567792"/>
        <c:crosses val="autoZero"/>
      </c:serAx>
    </c:plotArea>
    <c:legend>
      <c:legendPos val="t"/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GRAFICO DE EJECUCION RECURSOS SGR - OCAD MUNICIPALES VIGENCIA 2012-2014 POR SECTORES CUNDINAMARCA</a:t>
            </a:r>
          </a:p>
        </c:rich>
      </c:tx>
      <c:overlay val="0"/>
    </c:title>
    <c:autoTitleDeleted val="0"/>
    <c:view3D>
      <c:rotX val="15"/>
      <c:rotY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SECTORES!$H$19</c:f>
              <c:strCache>
                <c:ptCount val="1"/>
                <c:pt idx="0">
                  <c:v>RECURSOS DEL SGR</c:v>
                </c:pt>
              </c:strCache>
            </c:strRef>
          </c:tx>
          <c:invertIfNegative val="0"/>
          <c:dLbls>
            <c:delete val="1"/>
          </c:dLbls>
          <c:cat>
            <c:strRef>
              <c:f>SECTORES!$G$20:$G$30</c:f>
              <c:strCache>
                <c:ptCount val="11"/>
                <c:pt idx="0">
                  <c:v>TRANSPORTE</c:v>
                </c:pt>
                <c:pt idx="1">
                  <c:v>VIVIENDA</c:v>
                </c:pt>
                <c:pt idx="2">
                  <c:v>EQUIPAMIENTO</c:v>
                </c:pt>
                <c:pt idx="3">
                  <c:v>EDUCACION</c:v>
                </c:pt>
                <c:pt idx="4">
                  <c:v>DEPORTE</c:v>
                </c:pt>
                <c:pt idx="5">
                  <c:v>AGUA POTABLE</c:v>
                </c:pt>
                <c:pt idx="6">
                  <c:v>CULTURA</c:v>
                </c:pt>
                <c:pt idx="7">
                  <c:v>INCLUSION SOCIAL</c:v>
                </c:pt>
                <c:pt idx="8">
                  <c:v>SALUD</c:v>
                </c:pt>
                <c:pt idx="9">
                  <c:v>AGRICOLA</c:v>
                </c:pt>
                <c:pt idx="10">
                  <c:v>MINAS Y ENERGIA</c:v>
                </c:pt>
              </c:strCache>
            </c:strRef>
          </c:cat>
          <c:val>
            <c:numRef>
              <c:f>SECTORES!$H$20:$H$30</c:f>
              <c:numCache>
                <c:formatCode>_ * #,##0_ ;_ * \-#,##0_ ;_ * "-"??_ ;_ @_ </c:formatCode>
                <c:ptCount val="11"/>
                <c:pt idx="0">
                  <c:v>11586</c:v>
                </c:pt>
                <c:pt idx="1">
                  <c:v>3714</c:v>
                </c:pt>
                <c:pt idx="2">
                  <c:v>3109</c:v>
                </c:pt>
                <c:pt idx="3">
                  <c:v>2305</c:v>
                </c:pt>
                <c:pt idx="4">
                  <c:v>1126</c:v>
                </c:pt>
                <c:pt idx="5">
                  <c:v>972</c:v>
                </c:pt>
                <c:pt idx="6">
                  <c:v>886</c:v>
                </c:pt>
                <c:pt idx="7">
                  <c:v>702</c:v>
                </c:pt>
                <c:pt idx="8">
                  <c:v>544</c:v>
                </c:pt>
                <c:pt idx="9">
                  <c:v>461</c:v>
                </c:pt>
                <c:pt idx="10">
                  <c:v>73</c:v>
                </c:pt>
              </c:numCache>
            </c:numRef>
          </c:val>
        </c:ser>
        <c:ser>
          <c:idx val="1"/>
          <c:order val="1"/>
          <c:tx>
            <c:strRef>
              <c:f>SECTORES!$I$19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chemeClr val="accent6">
                        <a:lumMod val="40000"/>
                        <a:lumOff val="60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SECTORES!$G$20:$G$30</c:f>
              <c:strCache>
                <c:ptCount val="11"/>
                <c:pt idx="0">
                  <c:v>TRANSPORTE</c:v>
                </c:pt>
                <c:pt idx="1">
                  <c:v>VIVIENDA</c:v>
                </c:pt>
                <c:pt idx="2">
                  <c:v>EQUIPAMIENTO</c:v>
                </c:pt>
                <c:pt idx="3">
                  <c:v>EDUCACION</c:v>
                </c:pt>
                <c:pt idx="4">
                  <c:v>DEPORTE</c:v>
                </c:pt>
                <c:pt idx="5">
                  <c:v>AGUA POTABLE</c:v>
                </c:pt>
                <c:pt idx="6">
                  <c:v>CULTURA</c:v>
                </c:pt>
                <c:pt idx="7">
                  <c:v>INCLUSION SOCIAL</c:v>
                </c:pt>
                <c:pt idx="8">
                  <c:v>SALUD</c:v>
                </c:pt>
                <c:pt idx="9">
                  <c:v>AGRICOLA</c:v>
                </c:pt>
                <c:pt idx="10">
                  <c:v>MINAS Y ENERGIA</c:v>
                </c:pt>
              </c:strCache>
            </c:strRef>
          </c:cat>
          <c:val>
            <c:numRef>
              <c:f>SECTORES!$I$20:$I$30</c:f>
              <c:numCache>
                <c:formatCode>0.0%</c:formatCode>
                <c:ptCount val="11"/>
                <c:pt idx="0">
                  <c:v>0.45474527042939006</c:v>
                </c:pt>
                <c:pt idx="1">
                  <c:v>0.14577282361252847</c:v>
                </c:pt>
                <c:pt idx="2">
                  <c:v>0.12202684669126306</c:v>
                </c:pt>
                <c:pt idx="3">
                  <c:v>9.0470209592589682E-2</c:v>
                </c:pt>
                <c:pt idx="4">
                  <c:v>4.4194991757594788E-2</c:v>
                </c:pt>
                <c:pt idx="5">
                  <c:v>3.8150561268545415E-2</c:v>
                </c:pt>
                <c:pt idx="6">
                  <c:v>3.4775100086349008E-2</c:v>
                </c:pt>
                <c:pt idx="7">
                  <c:v>2.7553183138393909E-2</c:v>
                </c:pt>
                <c:pt idx="8">
                  <c:v>2.1351754454823769E-2</c:v>
                </c:pt>
                <c:pt idx="9">
                  <c:v>1.8094041918517937E-2</c:v>
                </c:pt>
                <c:pt idx="10">
                  <c:v>2.8652170500039248E-3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9571152"/>
        <c:axId val="119571712"/>
        <c:axId val="0"/>
      </c:bar3DChart>
      <c:catAx>
        <c:axId val="119571152"/>
        <c:scaling>
          <c:orientation val="minMax"/>
        </c:scaling>
        <c:delete val="0"/>
        <c:axPos val="l"/>
        <c:majorGridlines/>
        <c:min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119571712"/>
        <c:crosses val="autoZero"/>
        <c:auto val="1"/>
        <c:lblAlgn val="ctr"/>
        <c:lblOffset val="100"/>
        <c:noMultiLvlLbl val="0"/>
      </c:catAx>
      <c:valAx>
        <c:axId val="119571712"/>
        <c:scaling>
          <c:orientation val="minMax"/>
        </c:scaling>
        <c:delete val="0"/>
        <c:axPos val="b"/>
        <c:majorGridlines/>
        <c:minorGridlines/>
        <c:numFmt formatCode="_ * #,##0_ ;_ * \-#,##0_ ;_ * &quot;-&quot;??_ ;_ @_ 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11957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ES"/>
            </a:pPr>
            <a:endParaRPr lang="es-CO"/>
          </a:p>
        </c:txPr>
      </c:dTable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NUMERO DE PROYECTOS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SECTORES!$J$19</c:f>
              <c:strCache>
                <c:ptCount val="1"/>
                <c:pt idx="0">
                  <c:v>CANTIDAD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2000"/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SECTORES!$G$20:$G$31</c:f>
              <c:strCache>
                <c:ptCount val="12"/>
                <c:pt idx="0">
                  <c:v>TRANSPORTE</c:v>
                </c:pt>
                <c:pt idx="1">
                  <c:v>VIVIENDA</c:v>
                </c:pt>
                <c:pt idx="2">
                  <c:v>EQUIPAMIENTO</c:v>
                </c:pt>
                <c:pt idx="3">
                  <c:v>EDUCACION</c:v>
                </c:pt>
                <c:pt idx="4">
                  <c:v>DEPORTE</c:v>
                </c:pt>
                <c:pt idx="5">
                  <c:v>AGUA POTABLE</c:v>
                </c:pt>
                <c:pt idx="6">
                  <c:v>CULTURA</c:v>
                </c:pt>
                <c:pt idx="7">
                  <c:v>INCLUSION SOCIAL</c:v>
                </c:pt>
                <c:pt idx="8">
                  <c:v>SALUD</c:v>
                </c:pt>
                <c:pt idx="9">
                  <c:v>AGRICOLA</c:v>
                </c:pt>
                <c:pt idx="10">
                  <c:v>MINAS Y ENERGIA</c:v>
                </c:pt>
                <c:pt idx="11">
                  <c:v>TOTAL</c:v>
                </c:pt>
              </c:strCache>
            </c:strRef>
          </c:cat>
          <c:val>
            <c:numRef>
              <c:f>SECTORES!$J$20:$J$30</c:f>
              <c:numCache>
                <c:formatCode>General</c:formatCode>
                <c:ptCount val="11"/>
                <c:pt idx="0">
                  <c:v>36</c:v>
                </c:pt>
                <c:pt idx="1">
                  <c:v>15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s-ES" sz="1800"/>
          </a:pPr>
          <a:endParaRPr lang="es-CO"/>
        </a:p>
      </c:txPr>
    </c:legend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0866141732283472" right="0.70866141732283472" top="0.74803149606299213" bottom="0.74803149606299213" header="0.31496062992125984" footer="0.31496062992125984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105833</xdr:colOff>
      <xdr:row>0</xdr:row>
      <xdr:rowOff>134557</xdr:rowOff>
    </xdr:from>
    <xdr:to>
      <xdr:col>13</xdr:col>
      <xdr:colOff>84667</xdr:colOff>
      <xdr:row>119</xdr:row>
      <xdr:rowOff>116417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11906"/>
    <xdr:ext cx="8632031" cy="629840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80"/>
  <sheetViews>
    <sheetView topLeftCell="J1" workbookViewId="0">
      <pane ySplit="2" topLeftCell="A106" activePane="bottomLeft" state="frozen"/>
      <selection pane="bottomLeft" activeCell="P112" sqref="P112"/>
    </sheetView>
  </sheetViews>
  <sheetFormatPr baseColWidth="10" defaultRowHeight="15" x14ac:dyDescent="0.25"/>
  <cols>
    <col min="3" max="3" width="20.42578125" customWidth="1"/>
    <col min="4" max="4" width="13.5703125" style="3" hidden="1" customWidth="1"/>
    <col min="5" max="5" width="14.5703125" style="3" hidden="1" customWidth="1"/>
    <col min="6" max="6" width="12" style="3" hidden="1" customWidth="1"/>
    <col min="7" max="7" width="16.28515625" style="3" hidden="1" customWidth="1"/>
    <col min="8" max="8" width="16" style="3" customWidth="1"/>
    <col min="9" max="9" width="15.5703125" style="3" customWidth="1"/>
    <col min="10" max="10" width="13.5703125" customWidth="1"/>
    <col min="11" max="11" width="14.28515625" style="3" customWidth="1"/>
    <col min="12" max="12" width="14.5703125" style="3" customWidth="1"/>
    <col min="13" max="14" width="13.5703125" style="3" customWidth="1"/>
    <col min="15" max="15" width="12" style="3" customWidth="1"/>
    <col min="16" max="16" width="14" style="3" customWidth="1"/>
    <col min="17" max="17" width="12" style="3" customWidth="1"/>
    <col min="18" max="19" width="14" style="3" customWidth="1"/>
    <col min="20" max="20" width="24.7109375" customWidth="1"/>
  </cols>
  <sheetData>
    <row r="1" spans="1:20" x14ac:dyDescent="0.25">
      <c r="D1" s="100">
        <v>2012</v>
      </c>
      <c r="E1" s="100"/>
      <c r="F1" s="100" t="s">
        <v>8</v>
      </c>
      <c r="G1" s="100"/>
      <c r="H1" s="32"/>
      <c r="I1" s="32"/>
      <c r="K1"/>
      <c r="L1"/>
      <c r="M1"/>
      <c r="N1"/>
      <c r="O1"/>
      <c r="P1"/>
      <c r="Q1"/>
      <c r="R1"/>
      <c r="S1"/>
    </row>
    <row r="2" spans="1:20" ht="60" x14ac:dyDescent="0.25">
      <c r="A2" s="2" t="s">
        <v>140</v>
      </c>
      <c r="B2" s="2"/>
      <c r="C2" t="s">
        <v>139</v>
      </c>
      <c r="D2" s="2" t="s">
        <v>9</v>
      </c>
      <c r="E2" s="2" t="s">
        <v>10</v>
      </c>
      <c r="F2" s="2" t="s">
        <v>9</v>
      </c>
      <c r="G2" s="2" t="s">
        <v>10</v>
      </c>
      <c r="H2" s="2" t="s">
        <v>198</v>
      </c>
      <c r="I2" s="2" t="s">
        <v>199</v>
      </c>
      <c r="J2" s="2" t="s">
        <v>142</v>
      </c>
      <c r="K2" s="2" t="s">
        <v>143</v>
      </c>
      <c r="L2" s="2" t="s">
        <v>188</v>
      </c>
      <c r="M2" s="2" t="s">
        <v>144</v>
      </c>
      <c r="N2" s="2" t="s">
        <v>134</v>
      </c>
      <c r="O2" s="2" t="s">
        <v>135</v>
      </c>
      <c r="P2" s="2" t="s">
        <v>138</v>
      </c>
      <c r="Q2" s="2" t="s">
        <v>136</v>
      </c>
      <c r="R2" s="2" t="s">
        <v>137</v>
      </c>
      <c r="S2" s="2" t="s">
        <v>201</v>
      </c>
      <c r="T2" s="2" t="s">
        <v>145</v>
      </c>
    </row>
    <row r="3" spans="1:20" x14ac:dyDescent="0.25">
      <c r="C3" s="6"/>
      <c r="D3"/>
      <c r="E3"/>
      <c r="F3"/>
      <c r="G3"/>
      <c r="H3"/>
      <c r="I3"/>
      <c r="K3"/>
      <c r="L3"/>
      <c r="M3"/>
      <c r="N3"/>
      <c r="O3"/>
      <c r="P3"/>
      <c r="Q3"/>
      <c r="R3"/>
      <c r="S3"/>
    </row>
    <row r="4" spans="1:20" x14ac:dyDescent="0.25">
      <c r="A4">
        <v>1</v>
      </c>
      <c r="B4" s="6" t="s">
        <v>0</v>
      </c>
      <c r="C4" t="s">
        <v>1</v>
      </c>
      <c r="E4" s="3">
        <v>716402321</v>
      </c>
      <c r="G4" s="3">
        <v>2021075398</v>
      </c>
      <c r="H4" s="3">
        <f>D4+E4</f>
        <v>716402321</v>
      </c>
      <c r="I4" s="3">
        <f>(F4+G4)*80%</f>
        <v>1616860318.4000001</v>
      </c>
      <c r="J4" s="4">
        <f>H4+I4</f>
        <v>2333262639.4000001</v>
      </c>
      <c r="K4" s="3">
        <v>1467235359</v>
      </c>
      <c r="L4" s="34" t="s">
        <v>193</v>
      </c>
      <c r="M4" s="3">
        <f>J4-O4-P4-Q4-R4</f>
        <v>866027280.4000001</v>
      </c>
      <c r="P4" s="3">
        <v>716402321</v>
      </c>
      <c r="R4" s="3">
        <v>750833038</v>
      </c>
      <c r="S4" s="3">
        <f>O4+P4+Q4+R4</f>
        <v>1467235359</v>
      </c>
    </row>
    <row r="5" spans="1:20" x14ac:dyDescent="0.25">
      <c r="A5" t="s">
        <v>141</v>
      </c>
      <c r="B5" s="6" t="s">
        <v>0</v>
      </c>
      <c r="C5" t="s">
        <v>2</v>
      </c>
      <c r="D5" s="3">
        <v>2052833</v>
      </c>
      <c r="E5" s="3">
        <v>197959718</v>
      </c>
      <c r="F5" s="3">
        <v>2979855</v>
      </c>
      <c r="G5" s="3">
        <v>530729865</v>
      </c>
      <c r="H5" s="3">
        <f t="shared" ref="H5:H67" si="0">D5+E5</f>
        <v>200012551</v>
      </c>
      <c r="I5" s="3">
        <f t="shared" ref="I5:I67" si="1">(F5+G5)*80%</f>
        <v>426967776</v>
      </c>
      <c r="J5" s="4">
        <f t="shared" ref="J5:J11" si="2">H5+I5</f>
        <v>626980327</v>
      </c>
      <c r="L5" s="34"/>
      <c r="M5" s="3">
        <f t="shared" ref="M5:M21" si="3">J5-O5-P5-Q5-R5</f>
        <v>626980327</v>
      </c>
      <c r="S5" s="3">
        <f t="shared" ref="S5:S67" si="4">O5+P5+Q5+R5</f>
        <v>0</v>
      </c>
    </row>
    <row r="6" spans="1:20" x14ac:dyDescent="0.25">
      <c r="A6">
        <v>1</v>
      </c>
      <c r="B6" s="6" t="s">
        <v>0</v>
      </c>
      <c r="C6" t="s">
        <v>3</v>
      </c>
      <c r="E6" s="3">
        <v>143158002</v>
      </c>
      <c r="G6" s="3">
        <v>389780353</v>
      </c>
      <c r="H6" s="3">
        <f t="shared" si="0"/>
        <v>143158002</v>
      </c>
      <c r="I6" s="3">
        <f t="shared" si="1"/>
        <v>311824282.40000004</v>
      </c>
      <c r="J6" s="4">
        <f t="shared" si="2"/>
        <v>454982284.40000004</v>
      </c>
      <c r="K6" s="33">
        <v>176660709</v>
      </c>
      <c r="L6" s="34" t="s">
        <v>185</v>
      </c>
      <c r="M6" s="3">
        <f t="shared" si="3"/>
        <v>278321575.40000004</v>
      </c>
      <c r="R6" s="3">
        <v>176660709</v>
      </c>
      <c r="S6" s="3">
        <f t="shared" si="4"/>
        <v>176660709</v>
      </c>
    </row>
    <row r="7" spans="1:20" x14ac:dyDescent="0.25">
      <c r="A7">
        <v>1</v>
      </c>
      <c r="B7" s="6" t="s">
        <v>0</v>
      </c>
      <c r="C7" t="s">
        <v>4</v>
      </c>
      <c r="D7" s="3">
        <v>238688163</v>
      </c>
      <c r="E7" s="3">
        <v>298055409</v>
      </c>
      <c r="F7" s="3">
        <v>312116474</v>
      </c>
      <c r="G7" s="3">
        <v>851680397</v>
      </c>
      <c r="H7" s="3">
        <f t="shared" si="0"/>
        <v>536743572</v>
      </c>
      <c r="I7" s="3">
        <f t="shared" si="1"/>
        <v>931037496.80000007</v>
      </c>
      <c r="J7" s="4">
        <f t="shared" si="2"/>
        <v>1467781068.8000002</v>
      </c>
      <c r="K7" s="33">
        <v>388556520</v>
      </c>
      <c r="L7" s="34" t="s">
        <v>193</v>
      </c>
      <c r="M7" s="3">
        <f>J7-O7-P7-Q7-R7</f>
        <v>1079224548.8000002</v>
      </c>
      <c r="Q7" s="3">
        <v>194278260</v>
      </c>
      <c r="R7" s="3">
        <v>194278260</v>
      </c>
      <c r="S7" s="3">
        <f t="shared" si="4"/>
        <v>388556520</v>
      </c>
    </row>
    <row r="8" spans="1:20" x14ac:dyDescent="0.25">
      <c r="A8" t="s">
        <v>141</v>
      </c>
      <c r="B8" s="6" t="s">
        <v>0</v>
      </c>
      <c r="C8" t="s">
        <v>5</v>
      </c>
      <c r="D8" s="3">
        <v>33026137</v>
      </c>
      <c r="E8" s="3">
        <v>401887147</v>
      </c>
      <c r="F8" s="3">
        <v>29669804</v>
      </c>
      <c r="G8" s="3">
        <v>1132675807</v>
      </c>
      <c r="H8" s="3">
        <f t="shared" si="0"/>
        <v>434913284</v>
      </c>
      <c r="I8" s="3">
        <f t="shared" si="1"/>
        <v>929876488.80000007</v>
      </c>
      <c r="J8" s="4">
        <f t="shared" si="2"/>
        <v>1364789772.8000002</v>
      </c>
      <c r="L8" s="34"/>
      <c r="M8" s="3">
        <f t="shared" si="3"/>
        <v>1364789772.8000002</v>
      </c>
      <c r="S8" s="3">
        <f t="shared" si="4"/>
        <v>0</v>
      </c>
    </row>
    <row r="9" spans="1:20" x14ac:dyDescent="0.25">
      <c r="A9" t="s">
        <v>141</v>
      </c>
      <c r="B9" s="6" t="s">
        <v>0</v>
      </c>
      <c r="C9" t="s">
        <v>6</v>
      </c>
      <c r="E9" s="3">
        <v>167133879</v>
      </c>
      <c r="G9" s="3">
        <v>461214625</v>
      </c>
      <c r="H9" s="3">
        <f t="shared" si="0"/>
        <v>167133879</v>
      </c>
      <c r="I9" s="3">
        <f t="shared" si="1"/>
        <v>368971700</v>
      </c>
      <c r="J9" s="4">
        <f t="shared" si="2"/>
        <v>536105579</v>
      </c>
      <c r="L9" s="34"/>
      <c r="M9" s="3">
        <f t="shared" si="3"/>
        <v>536105579</v>
      </c>
      <c r="S9" s="3">
        <f t="shared" si="4"/>
        <v>0</v>
      </c>
    </row>
    <row r="10" spans="1:20" x14ac:dyDescent="0.25">
      <c r="A10" t="s">
        <v>141</v>
      </c>
      <c r="B10" s="6" t="s">
        <v>0</v>
      </c>
      <c r="C10" t="s">
        <v>7</v>
      </c>
      <c r="D10" s="3">
        <v>4542322</v>
      </c>
      <c r="E10" s="3">
        <v>452797142</v>
      </c>
      <c r="F10" s="3">
        <v>3614290</v>
      </c>
      <c r="G10" s="3">
        <v>1272992619</v>
      </c>
      <c r="H10" s="3">
        <f t="shared" si="0"/>
        <v>457339464</v>
      </c>
      <c r="I10" s="3">
        <f t="shared" si="1"/>
        <v>1021285527.2</v>
      </c>
      <c r="J10" s="4">
        <f t="shared" si="2"/>
        <v>1478624991.2</v>
      </c>
      <c r="L10" s="34"/>
      <c r="M10" s="3">
        <f t="shared" si="3"/>
        <v>1478624991.2</v>
      </c>
      <c r="S10" s="3">
        <f t="shared" si="4"/>
        <v>0</v>
      </c>
    </row>
    <row r="11" spans="1:20" x14ac:dyDescent="0.25">
      <c r="C11" s="6" t="s">
        <v>11</v>
      </c>
      <c r="H11" s="3">
        <f t="shared" si="0"/>
        <v>0</v>
      </c>
      <c r="I11" s="3">
        <f t="shared" si="1"/>
        <v>0</v>
      </c>
      <c r="J11" s="4">
        <f t="shared" si="2"/>
        <v>0</v>
      </c>
      <c r="L11" s="34"/>
      <c r="M11" s="3">
        <f t="shared" si="3"/>
        <v>0</v>
      </c>
      <c r="S11" s="3">
        <f t="shared" si="4"/>
        <v>0</v>
      </c>
    </row>
    <row r="12" spans="1:20" x14ac:dyDescent="0.25">
      <c r="B12" s="6" t="s">
        <v>11</v>
      </c>
      <c r="C12" s="95" t="s">
        <v>12</v>
      </c>
      <c r="D12" s="97"/>
      <c r="E12" s="97">
        <v>304752333</v>
      </c>
      <c r="F12" s="97"/>
      <c r="G12" s="97">
        <v>837606522</v>
      </c>
      <c r="H12" s="96">
        <f t="shared" si="0"/>
        <v>304752333</v>
      </c>
      <c r="I12" s="96">
        <f>(F12+G12)*80%</f>
        <v>670085217.60000002</v>
      </c>
      <c r="J12" s="99">
        <f>H12+I12</f>
        <v>974837550.60000002</v>
      </c>
      <c r="K12" s="33">
        <v>1232034880</v>
      </c>
      <c r="L12" s="34" t="s">
        <v>193</v>
      </c>
      <c r="M12" s="96">
        <f>J12-O12-O13-P12-P13-Q12-Q13-R12-R13</f>
        <v>782337550.60000002</v>
      </c>
      <c r="N12" s="3">
        <v>1169534880</v>
      </c>
      <c r="R12" s="3">
        <v>62500000</v>
      </c>
      <c r="S12" s="3">
        <f t="shared" si="4"/>
        <v>62500000</v>
      </c>
    </row>
    <row r="13" spans="1:20" s="19" customFormat="1" ht="60" x14ac:dyDescent="0.25">
      <c r="B13" s="6" t="s">
        <v>11</v>
      </c>
      <c r="C13" s="95"/>
      <c r="D13" s="97"/>
      <c r="E13" s="97"/>
      <c r="F13" s="97"/>
      <c r="G13" s="97"/>
      <c r="H13" s="96"/>
      <c r="I13" s="96"/>
      <c r="J13" s="99"/>
      <c r="K13" s="33">
        <v>140000000</v>
      </c>
      <c r="L13" s="35" t="s">
        <v>183</v>
      </c>
      <c r="M13" s="96"/>
      <c r="N13" s="20">
        <v>10000000</v>
      </c>
      <c r="O13" s="20"/>
      <c r="P13" s="20"/>
      <c r="Q13" s="20"/>
      <c r="R13" s="20">
        <v>130000000</v>
      </c>
      <c r="S13" s="3">
        <f>O13+P13+Q13+R13</f>
        <v>130000000</v>
      </c>
    </row>
    <row r="14" spans="1:20" x14ac:dyDescent="0.25">
      <c r="A14" t="s">
        <v>141</v>
      </c>
      <c r="B14" s="6" t="s">
        <v>11</v>
      </c>
      <c r="C14" t="s">
        <v>13</v>
      </c>
      <c r="D14" s="3">
        <v>145887</v>
      </c>
      <c r="H14" s="3">
        <f t="shared" si="0"/>
        <v>145887</v>
      </c>
      <c r="I14" s="3">
        <f t="shared" si="1"/>
        <v>0</v>
      </c>
      <c r="J14" s="4">
        <f>H14+I14</f>
        <v>145887</v>
      </c>
      <c r="L14" s="34"/>
      <c r="M14" s="3">
        <f t="shared" si="3"/>
        <v>145887</v>
      </c>
      <c r="S14" s="3">
        <f t="shared" si="4"/>
        <v>0</v>
      </c>
    </row>
    <row r="15" spans="1:20" x14ac:dyDescent="0.25">
      <c r="A15" t="s">
        <v>141</v>
      </c>
      <c r="B15" s="6" t="s">
        <v>11</v>
      </c>
      <c r="C15" t="s">
        <v>14</v>
      </c>
      <c r="E15" s="3">
        <v>78957333</v>
      </c>
      <c r="G15" s="3">
        <v>216349372</v>
      </c>
      <c r="H15" s="3">
        <f t="shared" si="0"/>
        <v>78957333</v>
      </c>
      <c r="I15" s="3">
        <f t="shared" si="1"/>
        <v>173079497.60000002</v>
      </c>
      <c r="J15" s="4">
        <f t="shared" ref="J15:J22" si="5">H15+I15</f>
        <v>252036830.60000002</v>
      </c>
      <c r="L15" s="34"/>
      <c r="M15" s="3">
        <f t="shared" si="3"/>
        <v>252036830.60000002</v>
      </c>
      <c r="S15" s="3">
        <f t="shared" si="4"/>
        <v>0</v>
      </c>
    </row>
    <row r="16" spans="1:20" ht="30" x14ac:dyDescent="0.25">
      <c r="B16" s="6" t="s">
        <v>11</v>
      </c>
      <c r="C16" t="s">
        <v>15</v>
      </c>
      <c r="D16" s="3">
        <v>4271830</v>
      </c>
      <c r="E16" s="3">
        <v>82325036</v>
      </c>
      <c r="F16" s="3">
        <v>2766016</v>
      </c>
      <c r="G16" s="3">
        <v>223116250</v>
      </c>
      <c r="H16" s="3">
        <f t="shared" si="0"/>
        <v>86596866</v>
      </c>
      <c r="I16" s="3">
        <f t="shared" si="1"/>
        <v>180705812.80000001</v>
      </c>
      <c r="J16" s="4">
        <f t="shared" si="5"/>
        <v>267302678.80000001</v>
      </c>
      <c r="K16" s="3">
        <v>214965637</v>
      </c>
      <c r="L16" s="34" t="s">
        <v>196</v>
      </c>
      <c r="M16" s="3">
        <f t="shared" si="3"/>
        <v>181337041.80000001</v>
      </c>
      <c r="N16" s="3">
        <v>129000000</v>
      </c>
      <c r="O16" s="3">
        <v>3640601</v>
      </c>
      <c r="P16" s="3">
        <v>82325036</v>
      </c>
      <c r="S16" s="3">
        <f t="shared" si="4"/>
        <v>85965637</v>
      </c>
      <c r="T16" t="s">
        <v>146</v>
      </c>
    </row>
    <row r="17" spans="1:19" x14ac:dyDescent="0.25">
      <c r="A17" t="s">
        <v>141</v>
      </c>
      <c r="B17" s="6" t="s">
        <v>11</v>
      </c>
      <c r="C17" t="s">
        <v>16</v>
      </c>
      <c r="E17" s="3">
        <v>66221291</v>
      </c>
      <c r="G17" s="3">
        <v>181361886</v>
      </c>
      <c r="H17" s="3">
        <f t="shared" si="0"/>
        <v>66221291</v>
      </c>
      <c r="I17" s="3">
        <f t="shared" si="1"/>
        <v>145089508.80000001</v>
      </c>
      <c r="J17" s="4">
        <f t="shared" si="5"/>
        <v>211310799.80000001</v>
      </c>
      <c r="L17" s="34"/>
      <c r="M17" s="3">
        <f t="shared" si="3"/>
        <v>211310799.80000001</v>
      </c>
      <c r="S17" s="3">
        <f t="shared" si="4"/>
        <v>0</v>
      </c>
    </row>
    <row r="18" spans="1:19" x14ac:dyDescent="0.25">
      <c r="B18" s="6" t="s">
        <v>11</v>
      </c>
      <c r="C18" t="s">
        <v>17</v>
      </c>
      <c r="D18" s="3">
        <v>16396</v>
      </c>
      <c r="E18" s="3">
        <v>414944552</v>
      </c>
      <c r="F18" s="3">
        <v>22692</v>
      </c>
      <c r="G18" s="3">
        <v>1175743997</v>
      </c>
      <c r="H18" s="3">
        <f t="shared" si="0"/>
        <v>414960948</v>
      </c>
      <c r="I18" s="3">
        <f t="shared" si="1"/>
        <v>940613351.20000005</v>
      </c>
      <c r="J18" s="4">
        <f t="shared" si="5"/>
        <v>1355574299.2</v>
      </c>
      <c r="K18" s="3">
        <v>414960948</v>
      </c>
      <c r="L18" s="34" t="s">
        <v>193</v>
      </c>
      <c r="M18" s="3">
        <f t="shared" si="3"/>
        <v>940613351.20000005</v>
      </c>
      <c r="O18" s="3">
        <v>16396</v>
      </c>
      <c r="P18" s="3">
        <v>414944552</v>
      </c>
      <c r="S18" s="3">
        <f t="shared" si="4"/>
        <v>414960948</v>
      </c>
    </row>
    <row r="19" spans="1:19" ht="45" x14ac:dyDescent="0.25">
      <c r="A19" t="s">
        <v>141</v>
      </c>
      <c r="B19" s="6" t="s">
        <v>11</v>
      </c>
      <c r="C19" t="s">
        <v>18</v>
      </c>
      <c r="E19" s="3">
        <v>276886436</v>
      </c>
      <c r="G19" s="3">
        <v>768140996</v>
      </c>
      <c r="H19" s="3">
        <f t="shared" si="0"/>
        <v>276886436</v>
      </c>
      <c r="I19" s="3">
        <f t="shared" si="1"/>
        <v>614512796.80000007</v>
      </c>
      <c r="J19" s="4">
        <f t="shared" si="5"/>
        <v>891399232.80000007</v>
      </c>
      <c r="K19" s="33">
        <v>389837120</v>
      </c>
      <c r="L19" s="34" t="s">
        <v>182</v>
      </c>
      <c r="M19" s="3">
        <f t="shared" si="3"/>
        <v>614512797.80000007</v>
      </c>
      <c r="N19" s="3">
        <v>112950685</v>
      </c>
      <c r="R19" s="3">
        <v>276886435</v>
      </c>
      <c r="S19" s="3">
        <f t="shared" si="4"/>
        <v>276886435</v>
      </c>
    </row>
    <row r="20" spans="1:19" x14ac:dyDescent="0.25">
      <c r="A20" t="s">
        <v>141</v>
      </c>
      <c r="B20" s="6" t="s">
        <v>11</v>
      </c>
      <c r="C20" t="s">
        <v>19</v>
      </c>
      <c r="E20" s="3">
        <v>492253613</v>
      </c>
      <c r="G20" s="3">
        <v>1370840806</v>
      </c>
      <c r="H20" s="3">
        <f t="shared" si="0"/>
        <v>492253613</v>
      </c>
      <c r="I20" s="3">
        <f t="shared" si="1"/>
        <v>1096672644.8</v>
      </c>
      <c r="J20" s="4">
        <f t="shared" si="5"/>
        <v>1588926257.8</v>
      </c>
      <c r="L20" s="34"/>
      <c r="M20" s="3">
        <f t="shared" si="3"/>
        <v>1588926257.8</v>
      </c>
      <c r="S20" s="3">
        <f t="shared" si="4"/>
        <v>0</v>
      </c>
    </row>
    <row r="21" spans="1:19" x14ac:dyDescent="0.25">
      <c r="C21" s="6"/>
      <c r="H21" s="3">
        <f t="shared" si="0"/>
        <v>0</v>
      </c>
      <c r="I21" s="3">
        <f t="shared" si="1"/>
        <v>0</v>
      </c>
      <c r="J21" s="4">
        <f t="shared" si="5"/>
        <v>0</v>
      </c>
      <c r="L21" s="34"/>
      <c r="M21" s="3">
        <f t="shared" si="3"/>
        <v>0</v>
      </c>
      <c r="S21" s="3">
        <f t="shared" si="4"/>
        <v>0</v>
      </c>
    </row>
    <row r="22" spans="1:19" x14ac:dyDescent="0.25">
      <c r="A22" t="s">
        <v>141</v>
      </c>
      <c r="B22" s="6" t="s">
        <v>21</v>
      </c>
      <c r="C22" t="s">
        <v>22</v>
      </c>
      <c r="D22" s="3">
        <v>3394626</v>
      </c>
      <c r="E22" s="3">
        <v>509319189</v>
      </c>
      <c r="F22" s="3">
        <v>3226368</v>
      </c>
      <c r="G22" s="3">
        <v>1384507936</v>
      </c>
      <c r="H22" s="3">
        <f t="shared" si="0"/>
        <v>512713815</v>
      </c>
      <c r="I22" s="3">
        <f t="shared" si="1"/>
        <v>1110187443.2</v>
      </c>
      <c r="J22" s="4">
        <f t="shared" si="5"/>
        <v>1622901258.2</v>
      </c>
      <c r="L22" s="34"/>
      <c r="M22" s="3">
        <f>J22-O22-P22-Q22-R22</f>
        <v>1622901258.2</v>
      </c>
      <c r="S22" s="3">
        <f t="shared" si="4"/>
        <v>0</v>
      </c>
    </row>
    <row r="23" spans="1:19" x14ac:dyDescent="0.25">
      <c r="B23" s="6" t="s">
        <v>21</v>
      </c>
      <c r="C23" s="100" t="s">
        <v>23</v>
      </c>
      <c r="D23" s="96">
        <v>1236841012</v>
      </c>
      <c r="E23" s="96">
        <v>712900649</v>
      </c>
      <c r="F23" s="96">
        <v>812956916</v>
      </c>
      <c r="G23" s="96">
        <v>2006775270</v>
      </c>
      <c r="H23" s="96">
        <f t="shared" si="0"/>
        <v>1949741661</v>
      </c>
      <c r="I23" s="96">
        <f>(F23+G23)*80%</f>
        <v>2255785748.8000002</v>
      </c>
      <c r="J23" s="98">
        <f>H23+I23</f>
        <v>4205527409.8000002</v>
      </c>
      <c r="K23" s="3">
        <v>658162798</v>
      </c>
      <c r="L23" s="34" t="s">
        <v>189</v>
      </c>
      <c r="M23" s="96">
        <f>J23-O23-O24-O25-O26-O27-O28-P23-P24-P25-P26-P27-P28-Q23-Q24-Q25-Q26-Q27-Q28-R23-R24-R25-R26-R27-R28</f>
        <v>2504353227.8000002</v>
      </c>
      <c r="O23" s="3">
        <v>658162798</v>
      </c>
      <c r="S23" s="3">
        <f t="shared" si="4"/>
        <v>658162798</v>
      </c>
    </row>
    <row r="24" spans="1:19" ht="30" x14ac:dyDescent="0.25">
      <c r="B24" s="6" t="s">
        <v>21</v>
      </c>
      <c r="C24" s="100"/>
      <c r="D24" s="96"/>
      <c r="E24" s="96"/>
      <c r="F24" s="96"/>
      <c r="G24" s="96"/>
      <c r="H24" s="96"/>
      <c r="I24" s="96"/>
      <c r="J24" s="98"/>
      <c r="K24" s="3">
        <v>50000000</v>
      </c>
      <c r="L24" s="34" t="s">
        <v>190</v>
      </c>
      <c r="M24" s="96"/>
      <c r="O24" s="3">
        <v>50000000</v>
      </c>
      <c r="S24" s="3">
        <f t="shared" si="4"/>
        <v>50000000</v>
      </c>
    </row>
    <row r="25" spans="1:19" ht="45" x14ac:dyDescent="0.25">
      <c r="B25" s="6" t="s">
        <v>21</v>
      </c>
      <c r="C25" s="100"/>
      <c r="D25" s="96"/>
      <c r="E25" s="96"/>
      <c r="F25" s="96"/>
      <c r="G25" s="96"/>
      <c r="H25" s="96"/>
      <c r="I25" s="96"/>
      <c r="J25" s="98"/>
      <c r="K25" s="3">
        <v>360000000</v>
      </c>
      <c r="L25" s="34" t="s">
        <v>192</v>
      </c>
      <c r="M25" s="96"/>
      <c r="O25" s="3">
        <v>360000000</v>
      </c>
      <c r="S25" s="3">
        <f t="shared" si="4"/>
        <v>360000000</v>
      </c>
    </row>
    <row r="26" spans="1:19" ht="30" x14ac:dyDescent="0.25">
      <c r="B26" s="6" t="s">
        <v>21</v>
      </c>
      <c r="C26" s="100"/>
      <c r="D26" s="96"/>
      <c r="E26" s="96"/>
      <c r="F26" s="96"/>
      <c r="G26" s="96"/>
      <c r="H26" s="96"/>
      <c r="I26" s="96"/>
      <c r="J26" s="98"/>
      <c r="K26" s="3">
        <v>73599934</v>
      </c>
      <c r="L26" s="34" t="s">
        <v>191</v>
      </c>
      <c r="M26" s="96"/>
      <c r="O26" s="3">
        <v>73599934</v>
      </c>
      <c r="S26" s="3">
        <f t="shared" si="4"/>
        <v>73599934</v>
      </c>
    </row>
    <row r="27" spans="1:19" x14ac:dyDescent="0.25">
      <c r="B27" s="6" t="s">
        <v>21</v>
      </c>
      <c r="C27" s="100"/>
      <c r="D27" s="96"/>
      <c r="E27" s="96"/>
      <c r="F27" s="96"/>
      <c r="G27" s="96"/>
      <c r="H27" s="96"/>
      <c r="I27" s="96"/>
      <c r="J27" s="98"/>
      <c r="K27" s="3">
        <v>489411450</v>
      </c>
      <c r="L27" s="34" t="s">
        <v>185</v>
      </c>
      <c r="M27" s="96"/>
      <c r="P27" s="3">
        <v>489411450</v>
      </c>
      <c r="S27" s="3">
        <f t="shared" si="4"/>
        <v>489411450</v>
      </c>
    </row>
    <row r="28" spans="1:19" x14ac:dyDescent="0.25">
      <c r="B28" s="6" t="s">
        <v>21</v>
      </c>
      <c r="C28" s="100"/>
      <c r="D28" s="96"/>
      <c r="E28" s="96"/>
      <c r="F28" s="96"/>
      <c r="G28" s="96"/>
      <c r="H28" s="96"/>
      <c r="I28" s="96"/>
      <c r="J28" s="98"/>
      <c r="K28" s="3">
        <v>70000000</v>
      </c>
      <c r="L28" s="34" t="s">
        <v>186</v>
      </c>
      <c r="M28" s="96"/>
      <c r="P28" s="3">
        <v>70000000</v>
      </c>
      <c r="S28" s="3">
        <f t="shared" si="4"/>
        <v>70000000</v>
      </c>
    </row>
    <row r="29" spans="1:19" hidden="1" x14ac:dyDescent="0.25">
      <c r="B29" s="6" t="s">
        <v>21</v>
      </c>
      <c r="C29" s="11"/>
      <c r="D29" s="12"/>
      <c r="E29" s="12"/>
      <c r="F29" s="12"/>
      <c r="G29" s="12"/>
      <c r="H29" s="3">
        <f t="shared" si="0"/>
        <v>0</v>
      </c>
      <c r="I29" s="3">
        <f t="shared" si="1"/>
        <v>0</v>
      </c>
      <c r="J29" s="14">
        <f>J23</f>
        <v>4205527409.8000002</v>
      </c>
      <c r="K29" s="15" t="e">
        <f>K23+K24+K25+K26+K27+#REF!+K28</f>
        <v>#REF!</v>
      </c>
      <c r="L29" s="36"/>
      <c r="M29" s="15" t="e">
        <f>J29-K29</f>
        <v>#REF!</v>
      </c>
      <c r="N29" s="15">
        <f>SUM(N23:N28)</f>
        <v>0</v>
      </c>
      <c r="S29" s="3">
        <f t="shared" si="4"/>
        <v>0</v>
      </c>
    </row>
    <row r="30" spans="1:19" x14ac:dyDescent="0.25">
      <c r="A30" t="s">
        <v>141</v>
      </c>
      <c r="B30" s="6" t="s">
        <v>21</v>
      </c>
      <c r="C30" t="s">
        <v>24</v>
      </c>
      <c r="D30" s="3">
        <v>72344720</v>
      </c>
      <c r="E30" s="3">
        <v>549846363</v>
      </c>
      <c r="F30" s="3">
        <v>15007693</v>
      </c>
      <c r="G30" s="3">
        <v>1293621821</v>
      </c>
      <c r="H30" s="3">
        <f t="shared" si="0"/>
        <v>622191083</v>
      </c>
      <c r="I30" s="3">
        <f t="shared" si="1"/>
        <v>1046903611.2</v>
      </c>
      <c r="J30" s="4">
        <f t="shared" ref="J30:J36" si="6">H30+I30</f>
        <v>1669094694.2</v>
      </c>
      <c r="L30" s="34"/>
      <c r="M30" s="3">
        <f>J30-O30-P30-Q30-R30</f>
        <v>1669094694.2</v>
      </c>
      <c r="S30" s="3">
        <f t="shared" si="4"/>
        <v>0</v>
      </c>
    </row>
    <row r="31" spans="1:19" x14ac:dyDescent="0.25">
      <c r="H31" s="3">
        <f t="shared" si="0"/>
        <v>0</v>
      </c>
      <c r="I31" s="3">
        <f t="shared" si="1"/>
        <v>0</v>
      </c>
      <c r="J31" s="4">
        <f t="shared" si="6"/>
        <v>0</v>
      </c>
      <c r="L31" s="34"/>
      <c r="M31" s="3">
        <f t="shared" ref="M31:M49" si="7">J31-O31-P31-Q31-R31</f>
        <v>0</v>
      </c>
      <c r="S31" s="3">
        <f t="shared" si="4"/>
        <v>0</v>
      </c>
    </row>
    <row r="32" spans="1:19" s="19" customFormat="1" x14ac:dyDescent="0.25">
      <c r="A32" s="19" t="s">
        <v>141</v>
      </c>
      <c r="B32" s="6" t="s">
        <v>25</v>
      </c>
      <c r="C32" s="19" t="s">
        <v>26</v>
      </c>
      <c r="D32" s="20"/>
      <c r="E32" s="20">
        <v>227183586</v>
      </c>
      <c r="F32" s="20"/>
      <c r="G32" s="20">
        <v>628910511</v>
      </c>
      <c r="H32" s="3">
        <f t="shared" si="0"/>
        <v>227183586</v>
      </c>
      <c r="I32" s="3">
        <f t="shared" si="1"/>
        <v>503128408.80000001</v>
      </c>
      <c r="J32" s="4">
        <f t="shared" si="6"/>
        <v>730311994.79999995</v>
      </c>
      <c r="K32" s="20"/>
      <c r="L32" s="35"/>
      <c r="M32" s="3">
        <f t="shared" si="7"/>
        <v>730311994.79999995</v>
      </c>
      <c r="N32" s="20"/>
      <c r="O32" s="20"/>
      <c r="P32" s="20"/>
      <c r="Q32" s="20"/>
      <c r="R32" s="20"/>
      <c r="S32" s="3">
        <f t="shared" si="4"/>
        <v>0</v>
      </c>
    </row>
    <row r="33" spans="1:19" x14ac:dyDescent="0.25">
      <c r="A33" t="s">
        <v>141</v>
      </c>
      <c r="B33" s="6" t="s">
        <v>25</v>
      </c>
      <c r="C33" t="s">
        <v>27</v>
      </c>
      <c r="E33" s="3">
        <v>214767619</v>
      </c>
      <c r="G33" s="3">
        <v>583396972</v>
      </c>
      <c r="H33" s="3">
        <f t="shared" si="0"/>
        <v>214767619</v>
      </c>
      <c r="I33" s="3">
        <f t="shared" si="1"/>
        <v>466717577.60000002</v>
      </c>
      <c r="J33" s="4">
        <f t="shared" si="6"/>
        <v>681485196.60000002</v>
      </c>
      <c r="L33" s="34"/>
      <c r="M33" s="3">
        <f t="shared" si="7"/>
        <v>681485196.60000002</v>
      </c>
      <c r="S33" s="3">
        <f t="shared" si="4"/>
        <v>0</v>
      </c>
    </row>
    <row r="34" spans="1:19" x14ac:dyDescent="0.25">
      <c r="A34" t="s">
        <v>141</v>
      </c>
      <c r="B34" s="6" t="s">
        <v>25</v>
      </c>
      <c r="C34" t="s">
        <v>28</v>
      </c>
      <c r="E34" s="3">
        <v>372847734</v>
      </c>
      <c r="G34" s="3">
        <v>1038651385</v>
      </c>
      <c r="H34" s="3">
        <f t="shared" si="0"/>
        <v>372847734</v>
      </c>
      <c r="I34" s="3">
        <f t="shared" si="1"/>
        <v>830921108</v>
      </c>
      <c r="J34" s="4">
        <f t="shared" si="6"/>
        <v>1203768842</v>
      </c>
      <c r="L34" s="34"/>
      <c r="M34" s="3">
        <f t="shared" si="7"/>
        <v>1203768842</v>
      </c>
      <c r="S34" s="3">
        <f t="shared" si="4"/>
        <v>0</v>
      </c>
    </row>
    <row r="35" spans="1:19" x14ac:dyDescent="0.25">
      <c r="A35" t="s">
        <v>141</v>
      </c>
      <c r="B35" s="6" t="s">
        <v>25</v>
      </c>
      <c r="C35" t="s">
        <v>29</v>
      </c>
      <c r="E35" s="3">
        <v>246274667</v>
      </c>
      <c r="G35" s="3">
        <v>694029200</v>
      </c>
      <c r="H35" s="3">
        <f t="shared" si="0"/>
        <v>246274667</v>
      </c>
      <c r="I35" s="3">
        <f t="shared" si="1"/>
        <v>555223360</v>
      </c>
      <c r="J35" s="4">
        <f t="shared" si="6"/>
        <v>801498027</v>
      </c>
      <c r="L35" s="34"/>
      <c r="M35" s="3">
        <f t="shared" si="7"/>
        <v>801498027</v>
      </c>
      <c r="S35" s="3">
        <f t="shared" si="4"/>
        <v>0</v>
      </c>
    </row>
    <row r="36" spans="1:19" x14ac:dyDescent="0.25">
      <c r="B36" s="6" t="s">
        <v>25</v>
      </c>
      <c r="C36" s="100" t="s">
        <v>30</v>
      </c>
      <c r="D36" s="96"/>
      <c r="E36" s="96">
        <v>241494936</v>
      </c>
      <c r="F36" s="96"/>
      <c r="G36" s="96">
        <v>660800138</v>
      </c>
      <c r="H36" s="96">
        <f>D36+E36</f>
        <v>241494936</v>
      </c>
      <c r="I36" s="96">
        <f>(F36+G36)*80%</f>
        <v>528640110.40000004</v>
      </c>
      <c r="J36" s="98">
        <f t="shared" si="6"/>
        <v>770135046.4000001</v>
      </c>
      <c r="K36" s="33">
        <v>147840000</v>
      </c>
      <c r="L36" s="34" t="s">
        <v>193</v>
      </c>
      <c r="M36" s="96">
        <f>J36-O36-O37-O38-P36-P37-P38-Q36-Q37-Q38-R36-R37-R38</f>
        <v>377088181.59000009</v>
      </c>
      <c r="P36" s="3">
        <v>100000000</v>
      </c>
      <c r="R36" s="3">
        <v>47840000</v>
      </c>
      <c r="S36" s="3">
        <f t="shared" si="4"/>
        <v>147840000</v>
      </c>
    </row>
    <row r="37" spans="1:19" x14ac:dyDescent="0.25">
      <c r="B37" s="6" t="s">
        <v>25</v>
      </c>
      <c r="C37" s="100"/>
      <c r="D37" s="96"/>
      <c r="E37" s="96"/>
      <c r="F37" s="96"/>
      <c r="G37" s="96"/>
      <c r="H37" s="96"/>
      <c r="I37" s="96"/>
      <c r="J37" s="98"/>
      <c r="K37" s="33">
        <v>105105158</v>
      </c>
      <c r="L37" s="34" t="s">
        <v>193</v>
      </c>
      <c r="M37" s="96"/>
      <c r="R37" s="3">
        <v>105105158</v>
      </c>
      <c r="S37" s="3">
        <f t="shared" si="4"/>
        <v>105105158</v>
      </c>
    </row>
    <row r="38" spans="1:19" x14ac:dyDescent="0.25">
      <c r="B38" s="6" t="s">
        <v>25</v>
      </c>
      <c r="C38" s="100"/>
      <c r="D38" s="96"/>
      <c r="E38" s="96"/>
      <c r="F38" s="96"/>
      <c r="G38" s="96"/>
      <c r="H38" s="96"/>
      <c r="I38" s="96"/>
      <c r="J38" s="98"/>
      <c r="K38" s="3">
        <v>677401706.80999994</v>
      </c>
      <c r="L38" s="34" t="s">
        <v>189</v>
      </c>
      <c r="M38" s="96"/>
      <c r="N38" s="3">
        <v>537300000</v>
      </c>
      <c r="P38" s="3">
        <v>140101706.81</v>
      </c>
      <c r="S38" s="3">
        <f t="shared" si="4"/>
        <v>140101706.81</v>
      </c>
    </row>
    <row r="39" spans="1:19" x14ac:dyDescent="0.25">
      <c r="A39" t="s">
        <v>141</v>
      </c>
      <c r="B39" s="6" t="s">
        <v>25</v>
      </c>
      <c r="C39" t="s">
        <v>31</v>
      </c>
      <c r="E39" s="3">
        <v>144535699</v>
      </c>
      <c r="G39" s="3">
        <v>392929219</v>
      </c>
      <c r="H39" s="3">
        <f t="shared" si="0"/>
        <v>144535699</v>
      </c>
      <c r="I39" s="3">
        <f t="shared" si="1"/>
        <v>314343375.19999999</v>
      </c>
      <c r="J39" s="4">
        <f t="shared" ref="J39:J44" si="8">H39+I39</f>
        <v>458879074.19999999</v>
      </c>
      <c r="L39" s="34"/>
      <c r="M39" s="3">
        <f t="shared" si="7"/>
        <v>458879074.19999999</v>
      </c>
      <c r="S39" s="3">
        <f t="shared" si="4"/>
        <v>0</v>
      </c>
    </row>
    <row r="40" spans="1:19" x14ac:dyDescent="0.25">
      <c r="A40" t="s">
        <v>141</v>
      </c>
      <c r="B40" s="6" t="s">
        <v>25</v>
      </c>
      <c r="C40" t="s">
        <v>32</v>
      </c>
      <c r="E40" s="3">
        <v>279390331</v>
      </c>
      <c r="G40" s="3">
        <v>784231569</v>
      </c>
      <c r="H40" s="3">
        <f t="shared" si="0"/>
        <v>279390331</v>
      </c>
      <c r="I40" s="3">
        <f t="shared" si="1"/>
        <v>627385255.20000005</v>
      </c>
      <c r="J40" s="4">
        <f t="shared" si="8"/>
        <v>906775586.20000005</v>
      </c>
      <c r="L40" s="34"/>
      <c r="M40" s="3">
        <f t="shared" si="7"/>
        <v>906775586.20000005</v>
      </c>
      <c r="S40" s="3">
        <f t="shared" si="4"/>
        <v>0</v>
      </c>
    </row>
    <row r="41" spans="1:19" x14ac:dyDescent="0.25">
      <c r="A41" t="s">
        <v>141</v>
      </c>
      <c r="B41" s="6" t="s">
        <v>25</v>
      </c>
      <c r="C41" t="s">
        <v>33</v>
      </c>
      <c r="E41" s="3">
        <v>314936875</v>
      </c>
      <c r="G41" s="3">
        <v>875291572</v>
      </c>
      <c r="H41" s="3">
        <f t="shared" si="0"/>
        <v>314936875</v>
      </c>
      <c r="I41" s="3">
        <f t="shared" si="1"/>
        <v>700233257.60000002</v>
      </c>
      <c r="J41" s="4">
        <f t="shared" si="8"/>
        <v>1015170132.6</v>
      </c>
      <c r="L41" s="34"/>
      <c r="M41" s="3">
        <f t="shared" si="7"/>
        <v>1015170132.6</v>
      </c>
      <c r="S41" s="3">
        <f t="shared" si="4"/>
        <v>0</v>
      </c>
    </row>
    <row r="42" spans="1:19" x14ac:dyDescent="0.25">
      <c r="A42" t="s">
        <v>141</v>
      </c>
      <c r="B42" s="6" t="s">
        <v>25</v>
      </c>
      <c r="C42" t="s">
        <v>34</v>
      </c>
      <c r="E42" s="3">
        <v>225658013</v>
      </c>
      <c r="G42" s="3">
        <v>625754612</v>
      </c>
      <c r="H42" s="3">
        <f t="shared" si="0"/>
        <v>225658013</v>
      </c>
      <c r="I42" s="3">
        <f t="shared" si="1"/>
        <v>500603689.60000002</v>
      </c>
      <c r="J42" s="4">
        <f t="shared" si="8"/>
        <v>726261702.60000002</v>
      </c>
      <c r="L42" s="34"/>
      <c r="M42" s="3">
        <f t="shared" si="7"/>
        <v>726261702.60000002</v>
      </c>
      <c r="S42" s="3">
        <f t="shared" si="4"/>
        <v>0</v>
      </c>
    </row>
    <row r="43" spans="1:19" x14ac:dyDescent="0.25">
      <c r="A43" t="s">
        <v>141</v>
      </c>
      <c r="B43" s="6" t="s">
        <v>25</v>
      </c>
      <c r="C43" t="s">
        <v>35</v>
      </c>
      <c r="E43" s="3">
        <v>152495725</v>
      </c>
      <c r="G43" s="3">
        <v>414737127</v>
      </c>
      <c r="H43" s="3">
        <f t="shared" si="0"/>
        <v>152495725</v>
      </c>
      <c r="I43" s="3">
        <f t="shared" si="1"/>
        <v>331789701.60000002</v>
      </c>
      <c r="J43" s="4">
        <f t="shared" si="8"/>
        <v>484285426.60000002</v>
      </c>
      <c r="L43" s="34"/>
      <c r="M43" s="3">
        <f t="shared" si="7"/>
        <v>484285426.60000002</v>
      </c>
      <c r="S43" s="3">
        <f t="shared" si="4"/>
        <v>0</v>
      </c>
    </row>
    <row r="44" spans="1:19" x14ac:dyDescent="0.25">
      <c r="B44" s="6" t="s">
        <v>25</v>
      </c>
      <c r="C44" s="100" t="s">
        <v>36</v>
      </c>
      <c r="D44" s="96"/>
      <c r="E44" s="96">
        <v>234575837</v>
      </c>
      <c r="F44" s="96"/>
      <c r="G44" s="96">
        <v>637271777</v>
      </c>
      <c r="H44" s="96">
        <f t="shared" si="0"/>
        <v>234575837</v>
      </c>
      <c r="I44" s="96">
        <f t="shared" si="1"/>
        <v>509817421.60000002</v>
      </c>
      <c r="J44" s="98">
        <f t="shared" si="8"/>
        <v>744393258.60000002</v>
      </c>
      <c r="K44" s="33">
        <v>234575836</v>
      </c>
      <c r="L44" s="34" t="s">
        <v>194</v>
      </c>
      <c r="M44" s="96">
        <f>J44-O45-P45-Q45-R45-O44-P44-Q44-R44</f>
        <v>373905639.60000002</v>
      </c>
      <c r="P44" s="3">
        <v>234575836</v>
      </c>
      <c r="S44" s="3">
        <f t="shared" si="4"/>
        <v>234575836</v>
      </c>
    </row>
    <row r="45" spans="1:19" x14ac:dyDescent="0.25">
      <c r="B45" s="6" t="s">
        <v>25</v>
      </c>
      <c r="C45" s="100"/>
      <c r="D45" s="96"/>
      <c r="E45" s="96"/>
      <c r="F45" s="96"/>
      <c r="G45" s="96"/>
      <c r="H45" s="96"/>
      <c r="I45" s="96"/>
      <c r="J45" s="98"/>
      <c r="K45" s="33">
        <v>135911783</v>
      </c>
      <c r="L45" s="34" t="s">
        <v>193</v>
      </c>
      <c r="M45" s="96"/>
      <c r="R45" s="3">
        <v>135911783</v>
      </c>
      <c r="S45" s="3">
        <f t="shared" si="4"/>
        <v>135911783</v>
      </c>
    </row>
    <row r="46" spans="1:19" x14ac:dyDescent="0.25">
      <c r="A46" t="s">
        <v>141</v>
      </c>
      <c r="B46" s="6" t="s">
        <v>25</v>
      </c>
      <c r="C46" t="s">
        <v>37</v>
      </c>
      <c r="E46" s="3">
        <v>496553307</v>
      </c>
      <c r="G46" s="3">
        <v>1379322803</v>
      </c>
      <c r="H46" s="3">
        <f t="shared" si="0"/>
        <v>496553307</v>
      </c>
      <c r="I46" s="3">
        <f t="shared" si="1"/>
        <v>1103458242.4000001</v>
      </c>
      <c r="J46" s="4">
        <f>H46+I46</f>
        <v>1600011549.4000001</v>
      </c>
      <c r="L46" s="34"/>
      <c r="M46" s="3">
        <f t="shared" si="7"/>
        <v>1600011549.4000001</v>
      </c>
      <c r="S46" s="3">
        <f t="shared" si="4"/>
        <v>0</v>
      </c>
    </row>
    <row r="47" spans="1:19" x14ac:dyDescent="0.25">
      <c r="C47" s="6"/>
      <c r="H47" s="3">
        <f t="shared" si="0"/>
        <v>0</v>
      </c>
      <c r="I47" s="3">
        <f t="shared" si="1"/>
        <v>0</v>
      </c>
      <c r="J47" s="4">
        <f>H47+I47</f>
        <v>0</v>
      </c>
      <c r="L47" s="34"/>
      <c r="M47" s="3">
        <f t="shared" si="7"/>
        <v>0</v>
      </c>
      <c r="S47" s="3">
        <f t="shared" si="4"/>
        <v>0</v>
      </c>
    </row>
    <row r="48" spans="1:19" x14ac:dyDescent="0.25">
      <c r="A48" t="s">
        <v>141</v>
      </c>
      <c r="B48" s="6" t="s">
        <v>38</v>
      </c>
      <c r="C48" t="s">
        <v>39</v>
      </c>
      <c r="E48" s="3">
        <v>148362635</v>
      </c>
      <c r="G48" s="3">
        <v>401017078</v>
      </c>
      <c r="H48" s="3">
        <f t="shared" si="0"/>
        <v>148362635</v>
      </c>
      <c r="I48" s="3">
        <f t="shared" si="1"/>
        <v>320813662.40000004</v>
      </c>
      <c r="J48" s="4">
        <f>H48+I48</f>
        <v>469176297.40000004</v>
      </c>
      <c r="L48" s="34"/>
      <c r="M48" s="3">
        <f t="shared" si="7"/>
        <v>469176297.40000004</v>
      </c>
      <c r="S48" s="3">
        <f t="shared" si="4"/>
        <v>0</v>
      </c>
    </row>
    <row r="49" spans="1:19" x14ac:dyDescent="0.25">
      <c r="A49" t="s">
        <v>141</v>
      </c>
      <c r="B49" s="6" t="s">
        <v>38</v>
      </c>
      <c r="C49" t="s">
        <v>40</v>
      </c>
      <c r="E49" s="3">
        <v>320605346</v>
      </c>
      <c r="G49" s="3">
        <v>880731414</v>
      </c>
      <c r="H49" s="3">
        <f t="shared" si="0"/>
        <v>320605346</v>
      </c>
      <c r="I49" s="3">
        <f t="shared" si="1"/>
        <v>704585131.20000005</v>
      </c>
      <c r="J49" s="4">
        <f>H49+I49</f>
        <v>1025190477.2</v>
      </c>
      <c r="L49" s="34"/>
      <c r="M49" s="3">
        <f t="shared" si="7"/>
        <v>1025190477.2</v>
      </c>
      <c r="S49" s="3">
        <f t="shared" si="4"/>
        <v>0</v>
      </c>
    </row>
    <row r="50" spans="1:19" x14ac:dyDescent="0.25">
      <c r="B50" s="6" t="s">
        <v>38</v>
      </c>
      <c r="C50" s="100" t="s">
        <v>41</v>
      </c>
      <c r="D50" s="96">
        <v>18944320</v>
      </c>
      <c r="E50" s="96">
        <v>525450255</v>
      </c>
      <c r="F50" s="96">
        <v>26082786</v>
      </c>
      <c r="G50" s="96">
        <v>1464078557</v>
      </c>
      <c r="H50" s="96">
        <f t="shared" si="0"/>
        <v>544394575</v>
      </c>
      <c r="I50" s="96">
        <f t="shared" si="1"/>
        <v>1192129074.4000001</v>
      </c>
      <c r="J50" s="98">
        <f>H50+I50</f>
        <v>1736523649.4000001</v>
      </c>
      <c r="K50" s="3">
        <v>107779557</v>
      </c>
      <c r="L50" s="34" t="s">
        <v>189</v>
      </c>
      <c r="M50" s="96">
        <f>J50-O50-O51-O52-P50-P51-P52-Q50-Q51-Q52-R50-R51-R52</f>
        <v>1269681714.4000001</v>
      </c>
      <c r="P50" s="3">
        <v>107779557</v>
      </c>
      <c r="S50" s="3">
        <f t="shared" si="4"/>
        <v>107779557</v>
      </c>
    </row>
    <row r="51" spans="1:19" x14ac:dyDescent="0.25">
      <c r="B51" s="6" t="s">
        <v>38</v>
      </c>
      <c r="C51" s="100"/>
      <c r="D51" s="96"/>
      <c r="E51" s="96"/>
      <c r="F51" s="96"/>
      <c r="G51" s="96"/>
      <c r="H51" s="96"/>
      <c r="I51" s="96"/>
      <c r="J51" s="98"/>
      <c r="K51" s="3">
        <v>319062378</v>
      </c>
      <c r="L51" s="34" t="s">
        <v>193</v>
      </c>
      <c r="M51" s="96"/>
      <c r="P51" s="3">
        <v>319062378</v>
      </c>
      <c r="S51" s="3">
        <f t="shared" si="4"/>
        <v>319062378</v>
      </c>
    </row>
    <row r="52" spans="1:19" x14ac:dyDescent="0.25">
      <c r="B52" s="6" t="s">
        <v>38</v>
      </c>
      <c r="C52" s="100"/>
      <c r="D52" s="96"/>
      <c r="E52" s="96"/>
      <c r="F52" s="96"/>
      <c r="G52" s="96"/>
      <c r="H52" s="96"/>
      <c r="I52" s="96"/>
      <c r="J52" s="98"/>
      <c r="K52" s="3">
        <v>40000000</v>
      </c>
      <c r="L52" s="34" t="s">
        <v>194</v>
      </c>
      <c r="M52" s="96"/>
      <c r="P52" s="3">
        <v>40000000</v>
      </c>
      <c r="S52" s="3">
        <f t="shared" si="4"/>
        <v>40000000</v>
      </c>
    </row>
    <row r="53" spans="1:19" hidden="1" x14ac:dyDescent="0.25">
      <c r="B53" s="6" t="s">
        <v>38</v>
      </c>
      <c r="C53" s="11"/>
      <c r="D53" s="12"/>
      <c r="E53" s="12"/>
      <c r="F53" s="12"/>
      <c r="G53" s="12"/>
      <c r="H53" s="3">
        <f t="shared" si="0"/>
        <v>0</v>
      </c>
      <c r="I53" s="3">
        <f t="shared" si="1"/>
        <v>0</v>
      </c>
      <c r="J53" s="14">
        <f>J50</f>
        <v>1736523649.4000001</v>
      </c>
      <c r="K53" s="15">
        <f>K50+K51+K52</f>
        <v>466841935</v>
      </c>
      <c r="L53" s="36"/>
      <c r="M53" s="15">
        <f>J53-K53</f>
        <v>1269681714.4000001</v>
      </c>
      <c r="N53" s="10">
        <f>N50+N51+N52</f>
        <v>0</v>
      </c>
      <c r="S53" s="3">
        <f t="shared" si="4"/>
        <v>0</v>
      </c>
    </row>
    <row r="54" spans="1:19" x14ac:dyDescent="0.25">
      <c r="B54" s="6" t="s">
        <v>38</v>
      </c>
      <c r="C54" t="s">
        <v>42</v>
      </c>
      <c r="E54" s="3">
        <v>154546010</v>
      </c>
      <c r="G54" s="3">
        <v>384436038</v>
      </c>
      <c r="H54" s="3">
        <f t="shared" si="0"/>
        <v>154546010</v>
      </c>
      <c r="I54" s="3">
        <f t="shared" si="1"/>
        <v>307548830.40000004</v>
      </c>
      <c r="J54" s="4">
        <f>H54+I54</f>
        <v>462094840.40000004</v>
      </c>
      <c r="K54" s="3">
        <v>145489931</v>
      </c>
      <c r="L54" s="34" t="s">
        <v>189</v>
      </c>
      <c r="M54" s="3">
        <f>J54-O54-P54-Q54-R54</f>
        <v>316604909.40000004</v>
      </c>
      <c r="P54" s="3">
        <v>145489931</v>
      </c>
      <c r="S54" s="3">
        <f t="shared" si="4"/>
        <v>145489931</v>
      </c>
    </row>
    <row r="55" spans="1:19" x14ac:dyDescent="0.25">
      <c r="B55" s="6" t="s">
        <v>38</v>
      </c>
      <c r="C55" t="s">
        <v>43</v>
      </c>
      <c r="E55" s="3">
        <v>163149913</v>
      </c>
      <c r="G55" s="3">
        <v>443480595</v>
      </c>
      <c r="H55" s="3">
        <f t="shared" si="0"/>
        <v>163149913</v>
      </c>
      <c r="I55" s="3">
        <f t="shared" si="1"/>
        <v>354784476</v>
      </c>
      <c r="J55" s="4">
        <f>H55+I55</f>
        <v>517934389</v>
      </c>
      <c r="K55" s="3">
        <v>178149712</v>
      </c>
      <c r="L55" s="34" t="s">
        <v>193</v>
      </c>
      <c r="M55" s="3">
        <f>J55-O55-P55-Q55-R55</f>
        <v>354784677</v>
      </c>
      <c r="N55" s="3">
        <v>15000000</v>
      </c>
      <c r="P55" s="3">
        <v>163149712</v>
      </c>
      <c r="S55" s="3">
        <f t="shared" si="4"/>
        <v>163149712</v>
      </c>
    </row>
    <row r="56" spans="1:19" x14ac:dyDescent="0.25">
      <c r="B56" s="6" t="s">
        <v>38</v>
      </c>
      <c r="C56" s="100" t="s">
        <v>44</v>
      </c>
      <c r="D56" s="96"/>
      <c r="E56" s="96">
        <v>140249531</v>
      </c>
      <c r="F56" s="96"/>
      <c r="G56" s="96">
        <v>378390900</v>
      </c>
      <c r="H56" s="96">
        <f t="shared" si="0"/>
        <v>140249531</v>
      </c>
      <c r="I56" s="96">
        <f t="shared" si="1"/>
        <v>302712720</v>
      </c>
      <c r="J56" s="98">
        <f>H56+I56</f>
        <v>442962251</v>
      </c>
      <c r="K56" s="3">
        <v>140249505</v>
      </c>
      <c r="L56" s="34" t="s">
        <v>193</v>
      </c>
      <c r="M56" s="96">
        <f>J56-O56-O57-P56-P57-Q56-Q57-R56-R57</f>
        <v>2712746</v>
      </c>
      <c r="P56" s="3">
        <v>140249505</v>
      </c>
      <c r="S56" s="3">
        <f t="shared" si="4"/>
        <v>140249505</v>
      </c>
    </row>
    <row r="57" spans="1:19" x14ac:dyDescent="0.25">
      <c r="B57" s="6" t="s">
        <v>38</v>
      </c>
      <c r="C57" s="100"/>
      <c r="D57" s="96"/>
      <c r="E57" s="96"/>
      <c r="F57" s="96"/>
      <c r="G57" s="96"/>
      <c r="H57" s="96"/>
      <c r="I57" s="96"/>
      <c r="J57" s="98"/>
      <c r="K57" s="3">
        <v>300000000</v>
      </c>
      <c r="L57" s="34" t="s">
        <v>193</v>
      </c>
      <c r="M57" s="96"/>
      <c r="R57" s="3">
        <v>300000000</v>
      </c>
      <c r="S57" s="3">
        <f t="shared" si="4"/>
        <v>300000000</v>
      </c>
    </row>
    <row r="58" spans="1:19" hidden="1" x14ac:dyDescent="0.25">
      <c r="B58" s="6" t="s">
        <v>38</v>
      </c>
      <c r="C58" s="7"/>
      <c r="D58" s="8"/>
      <c r="E58" s="8"/>
      <c r="F58" s="8"/>
      <c r="G58" s="8"/>
      <c r="H58" s="3">
        <f t="shared" si="0"/>
        <v>0</v>
      </c>
      <c r="I58" s="3">
        <f t="shared" si="1"/>
        <v>0</v>
      </c>
      <c r="J58" s="9" t="e">
        <f>#REF!+#REF!</f>
        <v>#REF!</v>
      </c>
      <c r="K58" s="10">
        <f>K56+K57</f>
        <v>440249505</v>
      </c>
      <c r="L58" s="37"/>
      <c r="M58" s="10" t="e">
        <f>J58-K58</f>
        <v>#REF!</v>
      </c>
      <c r="N58" s="10">
        <f>N56+N57</f>
        <v>0</v>
      </c>
      <c r="S58" s="3">
        <f t="shared" si="4"/>
        <v>0</v>
      </c>
    </row>
    <row r="59" spans="1:19" x14ac:dyDescent="0.25">
      <c r="B59" s="6" t="s">
        <v>38</v>
      </c>
      <c r="C59" t="s">
        <v>45</v>
      </c>
      <c r="E59" s="3">
        <v>66282522</v>
      </c>
      <c r="G59" s="3">
        <v>180173512</v>
      </c>
      <c r="H59" s="3">
        <f t="shared" si="0"/>
        <v>66282522</v>
      </c>
      <c r="I59" s="3">
        <f t="shared" si="1"/>
        <v>144138809.59999999</v>
      </c>
      <c r="J59" s="4">
        <f>H59+I59</f>
        <v>210421331.59999999</v>
      </c>
      <c r="K59" s="3">
        <v>65000000</v>
      </c>
      <c r="L59" s="34" t="s">
        <v>193</v>
      </c>
      <c r="M59" s="3">
        <f>J59-O59-P59-Q59-R59</f>
        <v>145421331.59999999</v>
      </c>
      <c r="P59" s="3">
        <v>65000000</v>
      </c>
      <c r="S59" s="3">
        <f t="shared" si="4"/>
        <v>65000000</v>
      </c>
    </row>
    <row r="60" spans="1:19" x14ac:dyDescent="0.25">
      <c r="A60" t="s">
        <v>141</v>
      </c>
      <c r="B60" s="6" t="s">
        <v>38</v>
      </c>
      <c r="C60" t="s">
        <v>46</v>
      </c>
      <c r="E60" s="3">
        <v>514003358</v>
      </c>
      <c r="G60" s="3">
        <v>1401730172</v>
      </c>
      <c r="H60" s="3">
        <f t="shared" si="0"/>
        <v>514003358</v>
      </c>
      <c r="I60" s="3">
        <f t="shared" si="1"/>
        <v>1121384137.6000001</v>
      </c>
      <c r="J60" s="4">
        <f t="shared" ref="J60:J66" si="9">H60+I60</f>
        <v>1635387495.6000001</v>
      </c>
      <c r="L60" s="34"/>
      <c r="M60" s="3">
        <f t="shared" ref="M60:M66" si="10">J60-O60-P60-Q60-R60</f>
        <v>1635387495.6000001</v>
      </c>
      <c r="S60" s="3">
        <f t="shared" si="4"/>
        <v>0</v>
      </c>
    </row>
    <row r="61" spans="1:19" x14ac:dyDescent="0.25">
      <c r="C61" s="6" t="s">
        <v>47</v>
      </c>
      <c r="H61" s="3">
        <f t="shared" si="0"/>
        <v>0</v>
      </c>
      <c r="I61" s="3">
        <f t="shared" si="1"/>
        <v>0</v>
      </c>
      <c r="J61" s="4">
        <f t="shared" si="9"/>
        <v>0</v>
      </c>
      <c r="L61" s="34"/>
      <c r="M61" s="3">
        <f t="shared" si="10"/>
        <v>0</v>
      </c>
      <c r="S61" s="3">
        <f t="shared" si="4"/>
        <v>0</v>
      </c>
    </row>
    <row r="62" spans="1:19" ht="45" x14ac:dyDescent="0.25">
      <c r="B62" s="6" t="s">
        <v>47</v>
      </c>
      <c r="C62" t="s">
        <v>48</v>
      </c>
      <c r="D62" s="3">
        <v>94261500</v>
      </c>
      <c r="E62" s="3">
        <v>247918077</v>
      </c>
      <c r="F62" s="3">
        <v>46705674</v>
      </c>
      <c r="G62" s="3">
        <v>684416905</v>
      </c>
      <c r="H62" s="3">
        <f t="shared" si="0"/>
        <v>342179577</v>
      </c>
      <c r="I62" s="3">
        <f t="shared" si="1"/>
        <v>584898063.20000005</v>
      </c>
      <c r="J62" s="4">
        <f t="shared" si="9"/>
        <v>927077640.20000005</v>
      </c>
      <c r="K62" s="3">
        <v>246999525</v>
      </c>
      <c r="L62" s="34" t="s">
        <v>182</v>
      </c>
      <c r="M62" s="3">
        <f t="shared" si="10"/>
        <v>680078115.20000005</v>
      </c>
      <c r="P62" s="3">
        <v>246999525</v>
      </c>
      <c r="S62" s="3">
        <f t="shared" si="4"/>
        <v>246999525</v>
      </c>
    </row>
    <row r="63" spans="1:19" ht="30" x14ac:dyDescent="0.25">
      <c r="B63" s="6" t="s">
        <v>47</v>
      </c>
      <c r="C63" t="s">
        <v>49</v>
      </c>
      <c r="E63" s="3">
        <v>332943386</v>
      </c>
      <c r="G63" s="3">
        <v>912081594</v>
      </c>
      <c r="H63" s="3">
        <f t="shared" si="0"/>
        <v>332943386</v>
      </c>
      <c r="I63" s="3">
        <f t="shared" si="1"/>
        <v>729665275.20000005</v>
      </c>
      <c r="J63" s="4">
        <f t="shared" si="9"/>
        <v>1062608661.2</v>
      </c>
      <c r="K63" s="3">
        <v>360281052</v>
      </c>
      <c r="L63" s="34" t="s">
        <v>196</v>
      </c>
      <c r="M63" s="3">
        <f t="shared" si="10"/>
        <v>915171549.20000005</v>
      </c>
      <c r="N63" s="3">
        <v>212843940</v>
      </c>
      <c r="P63" s="3">
        <v>147437112</v>
      </c>
      <c r="S63" s="3">
        <f t="shared" si="4"/>
        <v>147437112</v>
      </c>
    </row>
    <row r="64" spans="1:19" x14ac:dyDescent="0.25">
      <c r="A64" t="s">
        <v>141</v>
      </c>
      <c r="B64" s="6" t="s">
        <v>47</v>
      </c>
      <c r="C64" t="s">
        <v>50</v>
      </c>
      <c r="E64" s="3">
        <v>181656298</v>
      </c>
      <c r="G64" s="3">
        <v>504481369</v>
      </c>
      <c r="H64" s="3">
        <f t="shared" si="0"/>
        <v>181656298</v>
      </c>
      <c r="I64" s="3">
        <f t="shared" si="1"/>
        <v>403585095.20000005</v>
      </c>
      <c r="J64" s="4">
        <f t="shared" si="9"/>
        <v>585241393.20000005</v>
      </c>
      <c r="L64" s="34"/>
      <c r="M64" s="3">
        <f t="shared" si="10"/>
        <v>585241393.20000005</v>
      </c>
      <c r="S64" s="3">
        <f t="shared" si="4"/>
        <v>0</v>
      </c>
    </row>
    <row r="65" spans="1:19" ht="60" x14ac:dyDescent="0.25">
      <c r="B65" s="6" t="s">
        <v>47</v>
      </c>
      <c r="C65" t="s">
        <v>51</v>
      </c>
      <c r="E65" s="3">
        <v>333045374</v>
      </c>
      <c r="G65" s="3">
        <v>936172131</v>
      </c>
      <c r="H65" s="3">
        <f t="shared" si="0"/>
        <v>333045374</v>
      </c>
      <c r="I65" s="3">
        <f t="shared" si="1"/>
        <v>748937704.80000007</v>
      </c>
      <c r="J65" s="4">
        <f t="shared" si="9"/>
        <v>1081983078.8000002</v>
      </c>
      <c r="K65" s="3">
        <v>135130158</v>
      </c>
      <c r="L65" s="34" t="s">
        <v>183</v>
      </c>
      <c r="M65" s="3">
        <f t="shared" si="10"/>
        <v>954428912.80000019</v>
      </c>
      <c r="N65" s="3">
        <v>7575992</v>
      </c>
      <c r="P65" s="3">
        <v>127554166</v>
      </c>
      <c r="S65" s="3">
        <f t="shared" si="4"/>
        <v>127554166</v>
      </c>
    </row>
    <row r="66" spans="1:19" x14ac:dyDescent="0.25">
      <c r="A66" t="s">
        <v>141</v>
      </c>
      <c r="B66" s="6" t="s">
        <v>47</v>
      </c>
      <c r="C66" t="s">
        <v>52</v>
      </c>
      <c r="D66" s="3">
        <v>2087758</v>
      </c>
      <c r="E66" s="3">
        <v>235475388</v>
      </c>
      <c r="F66" s="3">
        <v>1708832</v>
      </c>
      <c r="G66" s="3">
        <v>653600009</v>
      </c>
      <c r="H66" s="3">
        <f t="shared" si="0"/>
        <v>237563146</v>
      </c>
      <c r="I66" s="3">
        <f t="shared" si="1"/>
        <v>524247072.80000001</v>
      </c>
      <c r="J66" s="4">
        <f t="shared" si="9"/>
        <v>761810218.79999995</v>
      </c>
      <c r="L66" s="34"/>
      <c r="M66" s="3">
        <f t="shared" si="10"/>
        <v>761810218.79999995</v>
      </c>
      <c r="S66" s="3">
        <f t="shared" si="4"/>
        <v>0</v>
      </c>
    </row>
    <row r="67" spans="1:19" x14ac:dyDescent="0.25">
      <c r="B67" s="6" t="s">
        <v>47</v>
      </c>
      <c r="C67" s="100" t="s">
        <v>53</v>
      </c>
      <c r="D67" s="96"/>
      <c r="E67" s="96">
        <v>315339356</v>
      </c>
      <c r="F67" s="96"/>
      <c r="G67" s="96">
        <v>875548642</v>
      </c>
      <c r="H67" s="96">
        <f t="shared" si="0"/>
        <v>315339356</v>
      </c>
      <c r="I67" s="96">
        <f t="shared" si="1"/>
        <v>700438913.60000002</v>
      </c>
      <c r="J67" s="98">
        <f>H67+I67</f>
        <v>1015778269.6</v>
      </c>
      <c r="K67" s="3">
        <v>408361966</v>
      </c>
      <c r="L67" s="34" t="s">
        <v>189</v>
      </c>
      <c r="M67" s="96">
        <f>J67-O67-O68-P67-P68-Q67-Q68-R67-R68</f>
        <v>700778269.60000002</v>
      </c>
      <c r="N67" s="3">
        <v>204180983</v>
      </c>
      <c r="P67" s="3">
        <v>204180983</v>
      </c>
      <c r="S67" s="3">
        <f t="shared" si="4"/>
        <v>204180983</v>
      </c>
    </row>
    <row r="68" spans="1:19" x14ac:dyDescent="0.25">
      <c r="B68" s="6" t="s">
        <v>47</v>
      </c>
      <c r="C68" s="100"/>
      <c r="D68" s="96"/>
      <c r="E68" s="96"/>
      <c r="F68" s="96"/>
      <c r="G68" s="96"/>
      <c r="H68" s="96"/>
      <c r="I68" s="96"/>
      <c r="J68" s="98"/>
      <c r="K68" s="3">
        <v>110819017</v>
      </c>
      <c r="L68" s="34" t="s">
        <v>193</v>
      </c>
      <c r="M68" s="96"/>
      <c r="P68" s="3">
        <v>110819017</v>
      </c>
      <c r="S68" s="3">
        <f t="shared" ref="S68:S131" si="11">O68+P68+Q68+R68</f>
        <v>110819017</v>
      </c>
    </row>
    <row r="69" spans="1:19" hidden="1" x14ac:dyDescent="0.25">
      <c r="B69" s="6" t="s">
        <v>47</v>
      </c>
      <c r="C69" s="11"/>
      <c r="D69" s="12"/>
      <c r="E69" s="12"/>
      <c r="F69" s="12"/>
      <c r="G69" s="12"/>
      <c r="H69" s="3">
        <f t="shared" ref="H69:H131" si="12">D69+E69</f>
        <v>0</v>
      </c>
      <c r="I69" s="3">
        <f t="shared" ref="I69:I131" si="13">(F69+G69)*80%</f>
        <v>0</v>
      </c>
      <c r="J69" s="14" t="e">
        <f>#REF!+#REF!</f>
        <v>#REF!</v>
      </c>
      <c r="K69" s="15">
        <f>K67+K68</f>
        <v>519180983</v>
      </c>
      <c r="L69" s="36"/>
      <c r="M69" s="15" t="e">
        <f>J69-K69</f>
        <v>#REF!</v>
      </c>
      <c r="N69" s="15">
        <f>N67+N68</f>
        <v>204180983</v>
      </c>
      <c r="S69" s="3">
        <f t="shared" si="11"/>
        <v>0</v>
      </c>
    </row>
    <row r="70" spans="1:19" x14ac:dyDescent="0.25">
      <c r="B70" s="6" t="s">
        <v>47</v>
      </c>
      <c r="C70" t="s">
        <v>54</v>
      </c>
      <c r="E70" s="3">
        <v>427220718</v>
      </c>
      <c r="G70" s="3">
        <v>1197304555</v>
      </c>
      <c r="H70" s="3">
        <f t="shared" si="12"/>
        <v>427220718</v>
      </c>
      <c r="I70" s="3">
        <f t="shared" si="13"/>
        <v>957843644</v>
      </c>
      <c r="J70" s="4">
        <f>H70+I70</f>
        <v>1385064362</v>
      </c>
      <c r="K70" s="3">
        <v>427000000</v>
      </c>
      <c r="L70" s="34" t="s">
        <v>193</v>
      </c>
      <c r="M70" s="3">
        <f>J70-O70-P70-Q70-R70</f>
        <v>958064362</v>
      </c>
      <c r="P70" s="3">
        <v>427000000</v>
      </c>
      <c r="S70" s="3">
        <f t="shared" si="11"/>
        <v>427000000</v>
      </c>
    </row>
    <row r="71" spans="1:19" x14ac:dyDescent="0.25">
      <c r="A71" t="s">
        <v>141</v>
      </c>
      <c r="B71" s="6" t="s">
        <v>47</v>
      </c>
      <c r="C71" t="s">
        <v>55</v>
      </c>
      <c r="D71" s="3">
        <v>98793790</v>
      </c>
      <c r="E71" s="3">
        <v>338790944</v>
      </c>
      <c r="F71" s="3">
        <v>47018365</v>
      </c>
      <c r="G71" s="3">
        <v>905040346</v>
      </c>
      <c r="H71" s="3">
        <f t="shared" si="12"/>
        <v>437584734</v>
      </c>
      <c r="I71" s="3">
        <f t="shared" si="13"/>
        <v>761646968.80000007</v>
      </c>
      <c r="J71" s="4">
        <f t="shared" ref="J71:J87" si="14">H71+I71</f>
        <v>1199231702.8000002</v>
      </c>
      <c r="L71" s="34"/>
      <c r="M71" s="3">
        <f t="shared" ref="M71:M87" si="15">J71-O71-P71-Q71-R71</f>
        <v>1199231702.8000002</v>
      </c>
      <c r="S71" s="3">
        <f t="shared" si="11"/>
        <v>0</v>
      </c>
    </row>
    <row r="72" spans="1:19" x14ac:dyDescent="0.25">
      <c r="C72" s="6" t="s">
        <v>56</v>
      </c>
      <c r="H72" s="3">
        <f t="shared" si="12"/>
        <v>0</v>
      </c>
      <c r="I72" s="3">
        <f t="shared" si="13"/>
        <v>0</v>
      </c>
      <c r="J72" s="4">
        <f t="shared" si="14"/>
        <v>0</v>
      </c>
      <c r="L72" s="34"/>
      <c r="M72" s="3">
        <f t="shared" si="15"/>
        <v>0</v>
      </c>
      <c r="S72" s="3">
        <f t="shared" si="11"/>
        <v>0</v>
      </c>
    </row>
    <row r="73" spans="1:19" x14ac:dyDescent="0.25">
      <c r="A73" t="s">
        <v>141</v>
      </c>
      <c r="B73" s="6" t="s">
        <v>56</v>
      </c>
      <c r="C73" t="s">
        <v>57</v>
      </c>
      <c r="E73" s="3">
        <v>296362759</v>
      </c>
      <c r="G73" s="3">
        <v>839271667</v>
      </c>
      <c r="H73" s="3">
        <f t="shared" si="12"/>
        <v>296362759</v>
      </c>
      <c r="I73" s="3">
        <f t="shared" si="13"/>
        <v>671417333.60000002</v>
      </c>
      <c r="J73" s="4">
        <f t="shared" si="14"/>
        <v>967780092.60000002</v>
      </c>
      <c r="L73" s="34"/>
      <c r="M73" s="3">
        <f t="shared" si="15"/>
        <v>967780092.60000002</v>
      </c>
      <c r="S73" s="3">
        <f t="shared" si="11"/>
        <v>0</v>
      </c>
    </row>
    <row r="74" spans="1:19" x14ac:dyDescent="0.25">
      <c r="A74" t="s">
        <v>141</v>
      </c>
      <c r="B74" s="6" t="s">
        <v>56</v>
      </c>
      <c r="C74" t="s">
        <v>58</v>
      </c>
      <c r="E74" s="3">
        <v>405808649</v>
      </c>
      <c r="G74" s="3">
        <v>1146966982</v>
      </c>
      <c r="H74" s="3">
        <f t="shared" si="12"/>
        <v>405808649</v>
      </c>
      <c r="I74" s="3">
        <f t="shared" si="13"/>
        <v>917573585.60000002</v>
      </c>
      <c r="J74" s="4">
        <f t="shared" si="14"/>
        <v>1323382234.5999999</v>
      </c>
      <c r="L74" s="34"/>
      <c r="M74" s="3">
        <f t="shared" si="15"/>
        <v>1323382234.5999999</v>
      </c>
      <c r="S74" s="3">
        <f t="shared" si="11"/>
        <v>0</v>
      </c>
    </row>
    <row r="75" spans="1:19" x14ac:dyDescent="0.25">
      <c r="B75" s="6" t="s">
        <v>56</v>
      </c>
      <c r="C75" t="s">
        <v>59</v>
      </c>
      <c r="E75" s="3">
        <v>0</v>
      </c>
      <c r="G75" s="3">
        <v>0</v>
      </c>
      <c r="H75" s="3">
        <f t="shared" si="12"/>
        <v>0</v>
      </c>
      <c r="I75" s="3">
        <f t="shared" si="13"/>
        <v>0</v>
      </c>
      <c r="J75" s="4">
        <f t="shared" si="14"/>
        <v>0</v>
      </c>
      <c r="L75" s="34"/>
      <c r="M75" s="3">
        <f t="shared" si="15"/>
        <v>0</v>
      </c>
      <c r="S75" s="3">
        <f t="shared" si="11"/>
        <v>0</v>
      </c>
    </row>
    <row r="76" spans="1:19" x14ac:dyDescent="0.25">
      <c r="B76" s="6" t="s">
        <v>56</v>
      </c>
      <c r="C76" t="s">
        <v>60</v>
      </c>
      <c r="E76" s="3">
        <v>0</v>
      </c>
      <c r="G76" s="3">
        <v>0</v>
      </c>
      <c r="H76" s="3">
        <f t="shared" si="12"/>
        <v>0</v>
      </c>
      <c r="I76" s="3">
        <f t="shared" si="13"/>
        <v>0</v>
      </c>
      <c r="J76" s="4">
        <f t="shared" si="14"/>
        <v>0</v>
      </c>
      <c r="L76" s="34"/>
      <c r="M76" s="3">
        <f t="shared" si="15"/>
        <v>0</v>
      </c>
      <c r="S76" s="3">
        <f t="shared" si="11"/>
        <v>0</v>
      </c>
    </row>
    <row r="77" spans="1:19" x14ac:dyDescent="0.25">
      <c r="B77" s="6" t="s">
        <v>56</v>
      </c>
      <c r="C77" t="s">
        <v>61</v>
      </c>
      <c r="E77" s="3">
        <v>0</v>
      </c>
      <c r="G77" s="3">
        <v>0</v>
      </c>
      <c r="H77" s="3">
        <f t="shared" si="12"/>
        <v>0</v>
      </c>
      <c r="I77" s="3">
        <f t="shared" si="13"/>
        <v>0</v>
      </c>
      <c r="J77" s="4">
        <f t="shared" si="14"/>
        <v>0</v>
      </c>
      <c r="L77" s="34"/>
      <c r="M77" s="3">
        <f t="shared" si="15"/>
        <v>0</v>
      </c>
      <c r="S77" s="3">
        <f t="shared" si="11"/>
        <v>0</v>
      </c>
    </row>
    <row r="78" spans="1:19" x14ac:dyDescent="0.25">
      <c r="B78" s="6" t="s">
        <v>56</v>
      </c>
      <c r="C78" t="s">
        <v>62</v>
      </c>
      <c r="E78" s="3">
        <v>0</v>
      </c>
      <c r="G78" s="3">
        <v>0</v>
      </c>
      <c r="H78" s="3">
        <f t="shared" si="12"/>
        <v>0</v>
      </c>
      <c r="I78" s="3">
        <f t="shared" si="13"/>
        <v>0</v>
      </c>
      <c r="J78" s="4">
        <f t="shared" si="14"/>
        <v>0</v>
      </c>
      <c r="L78" s="34"/>
      <c r="M78" s="3">
        <f t="shared" si="15"/>
        <v>0</v>
      </c>
      <c r="S78" s="3">
        <f t="shared" si="11"/>
        <v>0</v>
      </c>
    </row>
    <row r="79" spans="1:19" x14ac:dyDescent="0.25">
      <c r="B79" s="6" t="s">
        <v>56</v>
      </c>
      <c r="C79" t="s">
        <v>63</v>
      </c>
      <c r="D79" s="3">
        <v>1931002</v>
      </c>
      <c r="E79" s="3">
        <v>312059735</v>
      </c>
      <c r="F79" s="3">
        <v>5002766</v>
      </c>
      <c r="G79" s="3">
        <v>879865444</v>
      </c>
      <c r="H79" s="3">
        <f t="shared" si="12"/>
        <v>313990737</v>
      </c>
      <c r="I79" s="3">
        <f t="shared" si="13"/>
        <v>707894568</v>
      </c>
      <c r="J79" s="4">
        <f t="shared" si="14"/>
        <v>1021885305</v>
      </c>
      <c r="K79" s="3">
        <v>108273000</v>
      </c>
      <c r="L79" s="34" t="s">
        <v>186</v>
      </c>
      <c r="M79" s="3">
        <f t="shared" si="15"/>
        <v>913612305</v>
      </c>
      <c r="P79" s="3">
        <v>108273000</v>
      </c>
      <c r="S79" s="3">
        <f t="shared" si="11"/>
        <v>108273000</v>
      </c>
    </row>
    <row r="80" spans="1:19" x14ac:dyDescent="0.25">
      <c r="A80" t="s">
        <v>141</v>
      </c>
      <c r="B80" s="6" t="s">
        <v>56</v>
      </c>
      <c r="C80" t="s">
        <v>64</v>
      </c>
      <c r="E80" s="3">
        <v>229370391</v>
      </c>
      <c r="G80" s="3">
        <v>641189237</v>
      </c>
      <c r="H80" s="3">
        <f t="shared" si="12"/>
        <v>229370391</v>
      </c>
      <c r="I80" s="3">
        <f t="shared" si="13"/>
        <v>512951389.60000002</v>
      </c>
      <c r="J80" s="4">
        <f t="shared" si="14"/>
        <v>742321780.60000002</v>
      </c>
      <c r="L80" s="34"/>
      <c r="M80" s="3">
        <f t="shared" si="15"/>
        <v>742321780.60000002</v>
      </c>
      <c r="S80" s="3">
        <f t="shared" si="11"/>
        <v>0</v>
      </c>
    </row>
    <row r="81" spans="1:19" x14ac:dyDescent="0.25">
      <c r="C81" s="6" t="s">
        <v>65</v>
      </c>
      <c r="H81" s="3">
        <f t="shared" si="12"/>
        <v>0</v>
      </c>
      <c r="I81" s="3">
        <f t="shared" si="13"/>
        <v>0</v>
      </c>
      <c r="J81" s="4">
        <f t="shared" si="14"/>
        <v>0</v>
      </c>
      <c r="L81" s="34"/>
      <c r="M81" s="3">
        <f t="shared" si="15"/>
        <v>0</v>
      </c>
      <c r="S81" s="3">
        <f t="shared" si="11"/>
        <v>0</v>
      </c>
    </row>
    <row r="82" spans="1:19" x14ac:dyDescent="0.25">
      <c r="B82" s="6" t="s">
        <v>65</v>
      </c>
      <c r="C82" t="s">
        <v>66</v>
      </c>
      <c r="E82" s="3">
        <v>0</v>
      </c>
      <c r="G82" s="3">
        <v>0</v>
      </c>
      <c r="H82" s="3">
        <f t="shared" si="12"/>
        <v>0</v>
      </c>
      <c r="I82" s="3">
        <f t="shared" si="13"/>
        <v>0</v>
      </c>
      <c r="J82" s="4">
        <f t="shared" si="14"/>
        <v>0</v>
      </c>
      <c r="L82" s="34"/>
      <c r="M82" s="3">
        <f t="shared" si="15"/>
        <v>0</v>
      </c>
      <c r="S82" s="3">
        <f t="shared" si="11"/>
        <v>0</v>
      </c>
    </row>
    <row r="83" spans="1:19" ht="45" x14ac:dyDescent="0.25">
      <c r="B83" s="6" t="s">
        <v>65</v>
      </c>
      <c r="C83" t="s">
        <v>67</v>
      </c>
      <c r="E83" s="3">
        <v>564760501</v>
      </c>
      <c r="G83" s="3">
        <v>1589800891</v>
      </c>
      <c r="H83" s="3">
        <f t="shared" si="12"/>
        <v>564760501</v>
      </c>
      <c r="I83" s="3">
        <f t="shared" si="13"/>
        <v>1271840712.8</v>
      </c>
      <c r="J83" s="4">
        <f t="shared" si="14"/>
        <v>1836601213.8</v>
      </c>
      <c r="K83" s="33">
        <v>1239266938</v>
      </c>
      <c r="L83" s="34" t="s">
        <v>182</v>
      </c>
      <c r="M83" s="3">
        <f t="shared" si="15"/>
        <v>597334275.79999995</v>
      </c>
      <c r="R83" s="3">
        <v>1239266938</v>
      </c>
      <c r="S83" s="3">
        <f t="shared" si="11"/>
        <v>1239266938</v>
      </c>
    </row>
    <row r="84" spans="1:19" x14ac:dyDescent="0.25">
      <c r="C84" s="6" t="s">
        <v>68</v>
      </c>
      <c r="H84" s="3">
        <f t="shared" si="12"/>
        <v>0</v>
      </c>
      <c r="I84" s="3">
        <f t="shared" si="13"/>
        <v>0</v>
      </c>
      <c r="J84" s="4">
        <f t="shared" si="14"/>
        <v>0</v>
      </c>
      <c r="L84" s="34"/>
      <c r="M84" s="3">
        <f t="shared" si="15"/>
        <v>0</v>
      </c>
      <c r="S84" s="3">
        <f t="shared" si="11"/>
        <v>0</v>
      </c>
    </row>
    <row r="85" spans="1:19" x14ac:dyDescent="0.25">
      <c r="A85" t="s">
        <v>141</v>
      </c>
      <c r="B85" s="6" t="s">
        <v>68</v>
      </c>
      <c r="C85" t="s">
        <v>69</v>
      </c>
      <c r="E85" s="3">
        <v>306889610</v>
      </c>
      <c r="G85" s="3">
        <v>836592769</v>
      </c>
      <c r="H85" s="3">
        <f t="shared" si="12"/>
        <v>306889610</v>
      </c>
      <c r="I85" s="3">
        <f t="shared" si="13"/>
        <v>669274215.20000005</v>
      </c>
      <c r="J85" s="4">
        <f t="shared" si="14"/>
        <v>976163825.20000005</v>
      </c>
      <c r="L85" s="34"/>
      <c r="M85" s="3">
        <f t="shared" si="15"/>
        <v>976163825.20000005</v>
      </c>
      <c r="S85" s="3">
        <f t="shared" si="11"/>
        <v>0</v>
      </c>
    </row>
    <row r="86" spans="1:19" x14ac:dyDescent="0.25">
      <c r="A86" t="s">
        <v>141</v>
      </c>
      <c r="B86" s="6" t="s">
        <v>68</v>
      </c>
      <c r="C86" t="s">
        <v>70</v>
      </c>
      <c r="E86" s="3">
        <v>233871681</v>
      </c>
      <c r="G86" s="3">
        <v>638450075</v>
      </c>
      <c r="H86" s="3">
        <f t="shared" si="12"/>
        <v>233871681</v>
      </c>
      <c r="I86" s="3">
        <f t="shared" si="13"/>
        <v>510760060</v>
      </c>
      <c r="J86" s="4">
        <f t="shared" si="14"/>
        <v>744631741</v>
      </c>
      <c r="L86" s="34"/>
      <c r="M86" s="3">
        <f t="shared" si="15"/>
        <v>744631741</v>
      </c>
      <c r="S86" s="3">
        <f t="shared" si="11"/>
        <v>0</v>
      </c>
    </row>
    <row r="87" spans="1:19" x14ac:dyDescent="0.25">
      <c r="C87" s="6" t="s">
        <v>71</v>
      </c>
      <c r="H87" s="3">
        <f t="shared" si="12"/>
        <v>0</v>
      </c>
      <c r="I87" s="3">
        <f t="shared" si="13"/>
        <v>0</v>
      </c>
      <c r="J87" s="4">
        <f t="shared" si="14"/>
        <v>0</v>
      </c>
      <c r="L87" s="34"/>
      <c r="M87" s="3">
        <f t="shared" si="15"/>
        <v>0</v>
      </c>
      <c r="S87" s="3">
        <f t="shared" si="11"/>
        <v>0</v>
      </c>
    </row>
    <row r="88" spans="1:19" x14ac:dyDescent="0.25">
      <c r="B88" s="6" t="s">
        <v>71</v>
      </c>
      <c r="C88" s="100" t="s">
        <v>72</v>
      </c>
      <c r="D88" s="96"/>
      <c r="E88" s="96">
        <v>452192341</v>
      </c>
      <c r="F88" s="96"/>
      <c r="G88" s="96">
        <v>1256592706</v>
      </c>
      <c r="H88" s="96">
        <f t="shared" si="12"/>
        <v>452192341</v>
      </c>
      <c r="I88" s="96">
        <f t="shared" si="13"/>
        <v>1005274164.8000001</v>
      </c>
      <c r="J88" s="98">
        <f>H88+I88</f>
        <v>1457466505.8000002</v>
      </c>
      <c r="K88" s="3">
        <v>153832198</v>
      </c>
      <c r="L88" s="34" t="s">
        <v>186</v>
      </c>
      <c r="M88" s="96">
        <f>J88-O88-O89-P88-P89-Q88-Q89-R88-R89</f>
        <v>1005466505.8000002</v>
      </c>
      <c r="P88" s="3">
        <v>153832198</v>
      </c>
      <c r="S88" s="3">
        <f t="shared" si="11"/>
        <v>153832198</v>
      </c>
    </row>
    <row r="89" spans="1:19" x14ac:dyDescent="0.25">
      <c r="B89" s="6" t="s">
        <v>71</v>
      </c>
      <c r="C89" s="100"/>
      <c r="D89" s="96"/>
      <c r="E89" s="96"/>
      <c r="F89" s="96"/>
      <c r="G89" s="96"/>
      <c r="H89" s="96"/>
      <c r="I89" s="96"/>
      <c r="J89" s="98"/>
      <c r="K89" s="3">
        <v>298167802</v>
      </c>
      <c r="L89" s="34" t="s">
        <v>193</v>
      </c>
      <c r="M89" s="96"/>
      <c r="P89" s="3">
        <v>298167802</v>
      </c>
      <c r="S89" s="3">
        <f t="shared" si="11"/>
        <v>298167802</v>
      </c>
    </row>
    <row r="90" spans="1:19" hidden="1" x14ac:dyDescent="0.25">
      <c r="B90" s="6" t="s">
        <v>71</v>
      </c>
      <c r="C90" s="16"/>
      <c r="D90" s="17"/>
      <c r="E90" s="17"/>
      <c r="F90" s="17"/>
      <c r="G90" s="17"/>
      <c r="H90" s="3">
        <f t="shared" si="12"/>
        <v>0</v>
      </c>
      <c r="I90" s="3">
        <f t="shared" si="13"/>
        <v>0</v>
      </c>
      <c r="J90" s="13">
        <f>J88</f>
        <v>1457466505.8000002</v>
      </c>
      <c r="K90" s="15">
        <f>K88+K89</f>
        <v>452000000</v>
      </c>
      <c r="L90" s="36"/>
      <c r="M90" s="15">
        <f>J90-K90</f>
        <v>1005466505.8000002</v>
      </c>
      <c r="N90" s="15">
        <f>N88+N89</f>
        <v>0</v>
      </c>
      <c r="S90" s="3">
        <f t="shared" si="11"/>
        <v>0</v>
      </c>
    </row>
    <row r="91" spans="1:19" x14ac:dyDescent="0.25">
      <c r="B91" s="6" t="s">
        <v>71</v>
      </c>
      <c r="C91" t="s">
        <v>73</v>
      </c>
      <c r="E91" s="3">
        <v>298017079</v>
      </c>
      <c r="G91" s="3">
        <v>824985554</v>
      </c>
      <c r="H91" s="3">
        <f t="shared" si="12"/>
        <v>298017079</v>
      </c>
      <c r="I91" s="3">
        <f t="shared" si="13"/>
        <v>659988443.20000005</v>
      </c>
      <c r="J91" s="4">
        <f>H91+I91</f>
        <v>958005522.20000005</v>
      </c>
      <c r="K91" s="3">
        <v>298017079</v>
      </c>
      <c r="L91" s="34" t="s">
        <v>193</v>
      </c>
      <c r="M91" s="3">
        <f>J91-O91-P91-Q91-R91</f>
        <v>659988443.20000005</v>
      </c>
      <c r="P91" s="3">
        <v>298017079</v>
      </c>
      <c r="S91" s="3">
        <f t="shared" si="11"/>
        <v>298017079</v>
      </c>
    </row>
    <row r="92" spans="1:19" ht="30" x14ac:dyDescent="0.25">
      <c r="B92" s="6" t="s">
        <v>71</v>
      </c>
      <c r="C92" t="s">
        <v>74</v>
      </c>
      <c r="D92" s="3">
        <v>4281</v>
      </c>
      <c r="E92" s="3">
        <v>318787880</v>
      </c>
      <c r="G92" s="3">
        <v>878130088</v>
      </c>
      <c r="H92" s="3">
        <f t="shared" si="12"/>
        <v>318792161</v>
      </c>
      <c r="I92" s="3">
        <f t="shared" si="13"/>
        <v>702504070.4000001</v>
      </c>
      <c r="J92" s="4">
        <f t="shared" ref="J92:J97" si="16">H92+I92</f>
        <v>1021296231.4000001</v>
      </c>
      <c r="K92" s="3">
        <v>150000000</v>
      </c>
      <c r="L92" s="34" t="s">
        <v>179</v>
      </c>
      <c r="M92" s="3">
        <f t="shared" ref="M92:M97" si="17">J92-O92-P92-Q92-R92</f>
        <v>871296231.4000001</v>
      </c>
      <c r="P92" s="3">
        <v>150000000</v>
      </c>
      <c r="S92" s="3">
        <f t="shared" si="11"/>
        <v>150000000</v>
      </c>
    </row>
    <row r="93" spans="1:19" x14ac:dyDescent="0.25">
      <c r="B93" s="6" t="s">
        <v>71</v>
      </c>
      <c r="C93" t="s">
        <v>75</v>
      </c>
      <c r="E93" s="3">
        <v>372570034</v>
      </c>
      <c r="G93" s="3">
        <v>1032555090</v>
      </c>
      <c r="H93" s="3">
        <f t="shared" si="12"/>
        <v>372570034</v>
      </c>
      <c r="I93" s="3">
        <f t="shared" si="13"/>
        <v>826044072</v>
      </c>
      <c r="J93" s="4">
        <f t="shared" si="16"/>
        <v>1198614106</v>
      </c>
      <c r="K93" s="33">
        <v>320000000</v>
      </c>
      <c r="L93" s="34" t="s">
        <v>186</v>
      </c>
      <c r="M93" s="3">
        <f>J93-O93-P93-Q93-R93</f>
        <v>878614106</v>
      </c>
      <c r="R93" s="3">
        <v>320000000</v>
      </c>
      <c r="S93" s="3">
        <f t="shared" si="11"/>
        <v>320000000</v>
      </c>
    </row>
    <row r="94" spans="1:19" x14ac:dyDescent="0.25">
      <c r="B94" s="6" t="s">
        <v>71</v>
      </c>
      <c r="C94" t="s">
        <v>76</v>
      </c>
      <c r="E94" s="3">
        <v>221258102</v>
      </c>
      <c r="G94" s="3">
        <v>612757259</v>
      </c>
      <c r="H94" s="3">
        <f t="shared" si="12"/>
        <v>221258102</v>
      </c>
      <c r="I94" s="3">
        <f t="shared" si="13"/>
        <v>490205807.20000005</v>
      </c>
      <c r="J94" s="4">
        <f t="shared" si="16"/>
        <v>711463909.20000005</v>
      </c>
      <c r="K94" s="3">
        <v>221000000</v>
      </c>
      <c r="L94" s="34" t="s">
        <v>193</v>
      </c>
      <c r="M94" s="3">
        <f t="shared" si="17"/>
        <v>490463909.20000005</v>
      </c>
      <c r="P94" s="3">
        <v>221000000</v>
      </c>
      <c r="S94" s="3">
        <f t="shared" si="11"/>
        <v>221000000</v>
      </c>
    </row>
    <row r="95" spans="1:19" ht="30" x14ac:dyDescent="0.25">
      <c r="B95" s="6" t="s">
        <v>71</v>
      </c>
      <c r="C95" t="s">
        <v>77</v>
      </c>
      <c r="E95" s="3">
        <v>218933214</v>
      </c>
      <c r="G95" s="3">
        <v>608421226</v>
      </c>
      <c r="H95" s="3">
        <f t="shared" si="12"/>
        <v>218933214</v>
      </c>
      <c r="I95" s="3">
        <f t="shared" si="13"/>
        <v>486736980.80000001</v>
      </c>
      <c r="J95" s="4">
        <f t="shared" si="16"/>
        <v>705670194.79999995</v>
      </c>
      <c r="K95" s="3">
        <v>218933214</v>
      </c>
      <c r="L95" s="34" t="s">
        <v>179</v>
      </c>
      <c r="M95" s="3">
        <f t="shared" si="17"/>
        <v>486736980.79999995</v>
      </c>
      <c r="P95" s="3">
        <v>218933214</v>
      </c>
      <c r="S95" s="3">
        <f t="shared" si="11"/>
        <v>218933214</v>
      </c>
    </row>
    <row r="96" spans="1:19" x14ac:dyDescent="0.25">
      <c r="B96" s="6" t="s">
        <v>71</v>
      </c>
      <c r="C96" t="s">
        <v>78</v>
      </c>
      <c r="E96" s="3">
        <v>119155463</v>
      </c>
      <c r="G96" s="3">
        <v>332498175</v>
      </c>
      <c r="H96" s="3">
        <f t="shared" si="12"/>
        <v>119155463</v>
      </c>
      <c r="I96" s="3">
        <f t="shared" si="13"/>
        <v>265998540</v>
      </c>
      <c r="J96" s="4">
        <f t="shared" si="16"/>
        <v>385154003</v>
      </c>
      <c r="K96" s="3">
        <v>238000633.79000002</v>
      </c>
      <c r="L96" s="34" t="s">
        <v>193</v>
      </c>
      <c r="M96" s="3">
        <f t="shared" si="17"/>
        <v>147153369.20999998</v>
      </c>
      <c r="P96" s="3">
        <v>119155463</v>
      </c>
      <c r="R96" s="3">
        <v>118845170.79000001</v>
      </c>
      <c r="S96" s="3">
        <f t="shared" si="11"/>
        <v>238000633.79000002</v>
      </c>
    </row>
    <row r="97" spans="1:19" x14ac:dyDescent="0.25">
      <c r="B97" s="6" t="s">
        <v>71</v>
      </c>
      <c r="C97" t="s">
        <v>79</v>
      </c>
      <c r="E97" s="3">
        <v>213512384</v>
      </c>
      <c r="G97" s="3">
        <v>586750597</v>
      </c>
      <c r="H97" s="3">
        <f t="shared" si="12"/>
        <v>213512384</v>
      </c>
      <c r="I97" s="3">
        <f t="shared" si="13"/>
        <v>469400477.60000002</v>
      </c>
      <c r="J97" s="4">
        <f t="shared" si="16"/>
        <v>682912861.60000002</v>
      </c>
      <c r="K97" s="33">
        <v>326692308</v>
      </c>
      <c r="L97" s="34" t="s">
        <v>193</v>
      </c>
      <c r="M97" s="3">
        <f t="shared" si="17"/>
        <v>356220553.60000002</v>
      </c>
      <c r="P97" s="3">
        <v>213512384</v>
      </c>
      <c r="R97" s="3">
        <v>113179924</v>
      </c>
      <c r="S97" s="3">
        <f t="shared" si="11"/>
        <v>326692308</v>
      </c>
    </row>
    <row r="98" spans="1:19" x14ac:dyDescent="0.25">
      <c r="B98" s="6" t="s">
        <v>71</v>
      </c>
      <c r="C98" s="100" t="s">
        <v>80</v>
      </c>
      <c r="D98" s="96">
        <v>15475</v>
      </c>
      <c r="E98" s="96">
        <v>258464858</v>
      </c>
      <c r="F98" s="96"/>
      <c r="G98" s="96">
        <v>709029184</v>
      </c>
      <c r="H98" s="96">
        <f t="shared" si="12"/>
        <v>258480333</v>
      </c>
      <c r="I98" s="96">
        <f t="shared" si="13"/>
        <v>567223347.20000005</v>
      </c>
      <c r="J98" s="98">
        <f>H98+I98</f>
        <v>825703680.20000005</v>
      </c>
      <c r="K98" s="3">
        <v>225848238.12</v>
      </c>
      <c r="L98" s="34" t="s">
        <v>193</v>
      </c>
      <c r="M98" s="96">
        <f>J98-O98-O99-O100-P98-P99-P100-Q98-Q99-Q100-R98-R99-R100</f>
        <v>569855442.08000004</v>
      </c>
      <c r="P98" s="3">
        <v>225848238.12</v>
      </c>
      <c r="S98" s="3">
        <f t="shared" si="11"/>
        <v>225848238.12</v>
      </c>
    </row>
    <row r="99" spans="1:19" ht="30" x14ac:dyDescent="0.25">
      <c r="B99" s="6" t="s">
        <v>71</v>
      </c>
      <c r="C99" s="100"/>
      <c r="D99" s="96"/>
      <c r="E99" s="96"/>
      <c r="F99" s="96"/>
      <c r="G99" s="96"/>
      <c r="H99" s="96"/>
      <c r="I99" s="96"/>
      <c r="J99" s="98"/>
      <c r="K99" s="3">
        <v>16000000</v>
      </c>
      <c r="L99" s="34" t="s">
        <v>179</v>
      </c>
      <c r="M99" s="96"/>
      <c r="P99" s="3">
        <v>16000000</v>
      </c>
      <c r="S99" s="3">
        <f t="shared" si="11"/>
        <v>16000000</v>
      </c>
    </row>
    <row r="100" spans="1:19" ht="30" x14ac:dyDescent="0.25">
      <c r="B100" s="6" t="s">
        <v>71</v>
      </c>
      <c r="C100" s="100"/>
      <c r="D100" s="96"/>
      <c r="E100" s="96"/>
      <c r="F100" s="96"/>
      <c r="G100" s="96"/>
      <c r="H100" s="96"/>
      <c r="I100" s="96"/>
      <c r="J100" s="98"/>
      <c r="K100" s="3">
        <v>14000000</v>
      </c>
      <c r="L100" s="34" t="s">
        <v>179</v>
      </c>
      <c r="M100" s="96"/>
      <c r="P100" s="3">
        <v>14000000</v>
      </c>
      <c r="S100" s="3">
        <f t="shared" si="11"/>
        <v>14000000</v>
      </c>
    </row>
    <row r="101" spans="1:19" hidden="1" x14ac:dyDescent="0.25">
      <c r="B101" s="6" t="s">
        <v>71</v>
      </c>
      <c r="C101" s="11"/>
      <c r="D101" s="12"/>
      <c r="E101" s="12"/>
      <c r="F101" s="12"/>
      <c r="G101" s="12"/>
      <c r="H101" s="3">
        <f t="shared" si="12"/>
        <v>0</v>
      </c>
      <c r="I101" s="3">
        <f t="shared" si="13"/>
        <v>0</v>
      </c>
      <c r="J101" s="14" t="e">
        <f>#REF!+#REF!</f>
        <v>#REF!</v>
      </c>
      <c r="K101" s="10">
        <f>K98+K99+K100</f>
        <v>255848238.12</v>
      </c>
      <c r="L101" s="37"/>
      <c r="M101" s="15" t="e">
        <f>J101-K101</f>
        <v>#REF!</v>
      </c>
      <c r="N101" s="10">
        <f>N98+N99+N100</f>
        <v>0</v>
      </c>
      <c r="S101" s="3">
        <f t="shared" si="11"/>
        <v>0</v>
      </c>
    </row>
    <row r="102" spans="1:19" x14ac:dyDescent="0.25">
      <c r="B102" s="6" t="s">
        <v>71</v>
      </c>
      <c r="C102" s="100" t="s">
        <v>81</v>
      </c>
      <c r="D102" s="96"/>
      <c r="E102" s="96">
        <v>298258002</v>
      </c>
      <c r="F102" s="96"/>
      <c r="G102" s="96">
        <v>835821931</v>
      </c>
      <c r="H102" s="96">
        <f t="shared" si="12"/>
        <v>298258002</v>
      </c>
      <c r="I102" s="96">
        <f t="shared" si="13"/>
        <v>668657544.80000007</v>
      </c>
      <c r="J102" s="98">
        <f>H102+I102</f>
        <v>966915546.80000007</v>
      </c>
      <c r="K102" s="3">
        <v>97999932</v>
      </c>
      <c r="L102" s="34" t="s">
        <v>194</v>
      </c>
      <c r="M102" s="96">
        <f>J102-O102-O103-P102-P103-Q102-Q103-R102-R103</f>
        <v>668915614.80000007</v>
      </c>
      <c r="P102" s="3">
        <v>97999932</v>
      </c>
      <c r="S102" s="3">
        <f t="shared" si="11"/>
        <v>97999932</v>
      </c>
    </row>
    <row r="103" spans="1:19" ht="30" x14ac:dyDescent="0.25">
      <c r="B103" s="6" t="s">
        <v>71</v>
      </c>
      <c r="C103" s="100"/>
      <c r="D103" s="96"/>
      <c r="E103" s="96"/>
      <c r="F103" s="96"/>
      <c r="G103" s="96"/>
      <c r="H103" s="96"/>
      <c r="I103" s="96"/>
      <c r="J103" s="98"/>
      <c r="K103" s="3">
        <v>200000000</v>
      </c>
      <c r="L103" s="34" t="s">
        <v>196</v>
      </c>
      <c r="M103" s="96"/>
      <c r="P103" s="3">
        <v>200000000</v>
      </c>
      <c r="S103" s="3">
        <f t="shared" si="11"/>
        <v>200000000</v>
      </c>
    </row>
    <row r="104" spans="1:19" hidden="1" x14ac:dyDescent="0.25">
      <c r="B104" s="6" t="s">
        <v>71</v>
      </c>
      <c r="C104" s="11"/>
      <c r="D104" s="12"/>
      <c r="E104" s="12"/>
      <c r="F104" s="12"/>
      <c r="G104" s="12"/>
      <c r="H104" s="3">
        <f t="shared" si="12"/>
        <v>0</v>
      </c>
      <c r="I104" s="3">
        <f t="shared" si="13"/>
        <v>0</v>
      </c>
      <c r="J104" s="14" t="e">
        <f>#REF!+#REF!</f>
        <v>#REF!</v>
      </c>
      <c r="K104" s="15">
        <f>K102+K103</f>
        <v>297999932</v>
      </c>
      <c r="L104" s="36"/>
      <c r="M104" s="15" t="e">
        <f>J104-K104</f>
        <v>#REF!</v>
      </c>
      <c r="N104" s="15">
        <f>N102+N103</f>
        <v>0</v>
      </c>
      <c r="S104" s="3">
        <f t="shared" si="11"/>
        <v>0</v>
      </c>
    </row>
    <row r="105" spans="1:19" x14ac:dyDescent="0.25">
      <c r="C105" s="6" t="s">
        <v>82</v>
      </c>
      <c r="H105" s="3">
        <f t="shared" si="12"/>
        <v>0</v>
      </c>
      <c r="I105" s="3">
        <f t="shared" si="13"/>
        <v>0</v>
      </c>
      <c r="J105" s="4"/>
      <c r="L105" s="34"/>
      <c r="M105" s="3">
        <f>J105-K105</f>
        <v>0</v>
      </c>
      <c r="S105" s="3">
        <f t="shared" si="11"/>
        <v>0</v>
      </c>
    </row>
    <row r="106" spans="1:19" ht="30" x14ac:dyDescent="0.25">
      <c r="B106" s="6" t="s">
        <v>82</v>
      </c>
      <c r="C106" t="s">
        <v>83</v>
      </c>
      <c r="E106" s="3">
        <v>135943732</v>
      </c>
      <c r="G106" s="3">
        <v>380772477</v>
      </c>
      <c r="H106" s="3">
        <f t="shared" si="12"/>
        <v>135943732</v>
      </c>
      <c r="I106" s="3">
        <f t="shared" si="13"/>
        <v>304617981.60000002</v>
      </c>
      <c r="J106" s="4">
        <f>H106+I106</f>
        <v>440561713.60000002</v>
      </c>
      <c r="K106" s="3">
        <v>408000000</v>
      </c>
      <c r="L106" s="34" t="s">
        <v>196</v>
      </c>
      <c r="M106" s="3">
        <f>J106-O106-P106-Q106-R106</f>
        <v>306561713.60000002</v>
      </c>
      <c r="N106" s="3">
        <v>274000000</v>
      </c>
      <c r="O106" s="3">
        <v>134000000</v>
      </c>
      <c r="S106" s="3">
        <f t="shared" si="11"/>
        <v>134000000</v>
      </c>
    </row>
    <row r="107" spans="1:19" x14ac:dyDescent="0.25">
      <c r="A107" t="s">
        <v>141</v>
      </c>
      <c r="B107" s="6" t="s">
        <v>82</v>
      </c>
      <c r="C107" t="s">
        <v>84</v>
      </c>
      <c r="E107" s="3">
        <v>149385263</v>
      </c>
      <c r="G107" s="3">
        <v>412164199</v>
      </c>
      <c r="H107" s="3">
        <f t="shared" si="12"/>
        <v>149385263</v>
      </c>
      <c r="I107" s="3">
        <f t="shared" si="13"/>
        <v>329731359.20000005</v>
      </c>
      <c r="J107" s="4">
        <f>H107+I107</f>
        <v>479116622.20000005</v>
      </c>
      <c r="L107" s="34"/>
      <c r="M107" s="3">
        <f>J107-O107-P107-Q107-R107</f>
        <v>479116622.20000005</v>
      </c>
      <c r="S107" s="3">
        <f t="shared" si="11"/>
        <v>0</v>
      </c>
    </row>
    <row r="108" spans="1:19" x14ac:dyDescent="0.25">
      <c r="A108" t="s">
        <v>141</v>
      </c>
      <c r="B108" s="6" t="s">
        <v>82</v>
      </c>
      <c r="C108" t="s">
        <v>85</v>
      </c>
      <c r="E108" s="3">
        <v>122431320</v>
      </c>
      <c r="G108" s="3">
        <v>331605241</v>
      </c>
      <c r="H108" s="3">
        <f t="shared" si="12"/>
        <v>122431320</v>
      </c>
      <c r="I108" s="3">
        <f t="shared" si="13"/>
        <v>265284192.80000001</v>
      </c>
      <c r="J108" s="4">
        <f>H108+I108</f>
        <v>387715512.80000001</v>
      </c>
      <c r="L108" s="34"/>
      <c r="M108" s="3">
        <f>J108-O108-P108-Q108-R108</f>
        <v>387715512.80000001</v>
      </c>
      <c r="S108" s="3">
        <f t="shared" si="11"/>
        <v>0</v>
      </c>
    </row>
    <row r="109" spans="1:19" x14ac:dyDescent="0.25">
      <c r="A109" t="s">
        <v>141</v>
      </c>
      <c r="B109" s="6" t="s">
        <v>82</v>
      </c>
      <c r="C109" t="s">
        <v>86</v>
      </c>
      <c r="E109" s="3">
        <v>173445293</v>
      </c>
      <c r="G109" s="3">
        <v>480405975</v>
      </c>
      <c r="H109" s="3">
        <f t="shared" si="12"/>
        <v>173445293</v>
      </c>
      <c r="I109" s="3">
        <f t="shared" si="13"/>
        <v>384324780</v>
      </c>
      <c r="J109" s="4">
        <f>H109+I109</f>
        <v>557770073</v>
      </c>
      <c r="L109" s="34"/>
      <c r="M109" s="3">
        <f>J109-O109-P109-Q109-R109</f>
        <v>557770073</v>
      </c>
      <c r="S109" s="3">
        <f t="shared" si="11"/>
        <v>0</v>
      </c>
    </row>
    <row r="110" spans="1:19" ht="30" x14ac:dyDescent="0.25">
      <c r="B110" s="6" t="s">
        <v>82</v>
      </c>
      <c r="C110" s="100" t="s">
        <v>87</v>
      </c>
      <c r="D110" s="96">
        <v>256445411</v>
      </c>
      <c r="E110" s="96">
        <v>90621832</v>
      </c>
      <c r="F110" s="96">
        <v>316965525</v>
      </c>
      <c r="G110" s="96">
        <v>247441903</v>
      </c>
      <c r="H110" s="96">
        <f t="shared" si="12"/>
        <v>347067243</v>
      </c>
      <c r="I110" s="96">
        <f t="shared" si="13"/>
        <v>451525942.40000004</v>
      </c>
      <c r="J110" s="98">
        <f>H110+I110</f>
        <v>798593185.4000001</v>
      </c>
      <c r="K110" s="3">
        <v>407861554</v>
      </c>
      <c r="L110" s="34" t="s">
        <v>196</v>
      </c>
      <c r="M110" s="96">
        <f>J110-O110-O111-O112-P110-P111-P112-Q110-Q111-Q112-R110-R111-R112</f>
        <v>427393382.4000001</v>
      </c>
      <c r="N110" s="3">
        <v>274135308</v>
      </c>
      <c r="O110" s="3">
        <v>133726246</v>
      </c>
      <c r="S110" s="3">
        <f t="shared" si="11"/>
        <v>133726246</v>
      </c>
    </row>
    <row r="111" spans="1:19" x14ac:dyDescent="0.25">
      <c r="B111" s="6" t="s">
        <v>82</v>
      </c>
      <c r="C111" s="100"/>
      <c r="D111" s="96"/>
      <c r="E111" s="96"/>
      <c r="F111" s="96"/>
      <c r="G111" s="96"/>
      <c r="H111" s="96"/>
      <c r="I111" s="96"/>
      <c r="J111" s="98"/>
      <c r="K111" s="3">
        <v>430408650</v>
      </c>
      <c r="L111" s="34" t="s">
        <v>193</v>
      </c>
      <c r="M111" s="96"/>
      <c r="N111" s="3">
        <v>352935093</v>
      </c>
      <c r="O111" s="3">
        <v>77473557</v>
      </c>
      <c r="S111" s="3">
        <f t="shared" si="11"/>
        <v>77473557</v>
      </c>
    </row>
    <row r="112" spans="1:19" x14ac:dyDescent="0.25">
      <c r="B112" s="6" t="s">
        <v>82</v>
      </c>
      <c r="C112" s="100"/>
      <c r="D112" s="96"/>
      <c r="E112" s="96"/>
      <c r="F112" s="96"/>
      <c r="G112" s="96"/>
      <c r="H112" s="96"/>
      <c r="I112" s="96"/>
      <c r="J112" s="98"/>
      <c r="K112" s="3">
        <v>160000000</v>
      </c>
      <c r="L112" s="34" t="s">
        <v>193</v>
      </c>
      <c r="M112" s="96"/>
      <c r="O112" s="3">
        <v>45254608</v>
      </c>
      <c r="P112" s="3">
        <v>90612832</v>
      </c>
      <c r="Q112" s="3">
        <v>24132560</v>
      </c>
      <c r="S112" s="3">
        <f t="shared" si="11"/>
        <v>160000000</v>
      </c>
    </row>
    <row r="113" spans="1:19" hidden="1" x14ac:dyDescent="0.25">
      <c r="B113" s="6" t="s">
        <v>82</v>
      </c>
      <c r="C113" s="11"/>
      <c r="D113" s="12"/>
      <c r="E113" s="12"/>
      <c r="F113" s="12"/>
      <c r="G113" s="12"/>
      <c r="H113" s="3">
        <f t="shared" si="12"/>
        <v>0</v>
      </c>
      <c r="I113" s="3">
        <f t="shared" si="13"/>
        <v>0</v>
      </c>
      <c r="J113" s="14" t="e">
        <f>#REF!+#REF!</f>
        <v>#REF!</v>
      </c>
      <c r="K113" s="10">
        <f>K110+K111+K112</f>
        <v>998270204</v>
      </c>
      <c r="L113" s="37"/>
      <c r="M113" s="15" t="e">
        <f>J113-K113</f>
        <v>#REF!</v>
      </c>
      <c r="N113" s="10">
        <f>N110+N111+N112</f>
        <v>627070401</v>
      </c>
      <c r="S113" s="3">
        <f t="shared" si="11"/>
        <v>0</v>
      </c>
    </row>
    <row r="114" spans="1:19" ht="30" x14ac:dyDescent="0.25">
      <c r="B114" s="6" t="s">
        <v>82</v>
      </c>
      <c r="C114" t="s">
        <v>88</v>
      </c>
      <c r="E114" s="3">
        <v>340378879</v>
      </c>
      <c r="G114" s="3">
        <v>941597212</v>
      </c>
      <c r="H114" s="3">
        <f t="shared" si="12"/>
        <v>340378879</v>
      </c>
      <c r="I114" s="3">
        <f t="shared" si="13"/>
        <v>753277769.60000002</v>
      </c>
      <c r="J114" s="4">
        <f>H114+I114</f>
        <v>1093656648.5999999</v>
      </c>
      <c r="K114" s="3">
        <v>425000000</v>
      </c>
      <c r="L114" s="34" t="s">
        <v>196</v>
      </c>
      <c r="M114" s="3">
        <f>J114-O114-P114-Q114-R114</f>
        <v>923656648.5999999</v>
      </c>
      <c r="N114" s="3">
        <v>255000000</v>
      </c>
      <c r="P114" s="3">
        <v>170000000</v>
      </c>
      <c r="S114" s="3">
        <f t="shared" si="11"/>
        <v>170000000</v>
      </c>
    </row>
    <row r="115" spans="1:19" x14ac:dyDescent="0.25">
      <c r="A115" t="s">
        <v>141</v>
      </c>
      <c r="B115" s="6" t="s">
        <v>82</v>
      </c>
      <c r="C115" t="s">
        <v>89</v>
      </c>
      <c r="E115" s="3">
        <v>196899821</v>
      </c>
      <c r="G115" s="3">
        <v>546167851</v>
      </c>
      <c r="H115" s="3">
        <f t="shared" si="12"/>
        <v>196899821</v>
      </c>
      <c r="I115" s="3">
        <f t="shared" si="13"/>
        <v>436934280.80000001</v>
      </c>
      <c r="J115" s="4">
        <f t="shared" ref="J115:J122" si="18">H115+I115</f>
        <v>633834101.79999995</v>
      </c>
      <c r="L115" s="34"/>
      <c r="M115" s="3">
        <f t="shared" ref="M115:M122" si="19">J115-O115-P115-Q115-R115</f>
        <v>633834101.79999995</v>
      </c>
      <c r="S115" s="3">
        <f t="shared" si="11"/>
        <v>0</v>
      </c>
    </row>
    <row r="116" spans="1:19" x14ac:dyDescent="0.25">
      <c r="C116" s="6" t="s">
        <v>90</v>
      </c>
      <c r="H116" s="3">
        <f t="shared" si="12"/>
        <v>0</v>
      </c>
      <c r="I116" s="3">
        <f t="shared" si="13"/>
        <v>0</v>
      </c>
      <c r="J116" s="4">
        <f t="shared" si="18"/>
        <v>0</v>
      </c>
      <c r="L116" s="34"/>
      <c r="M116" s="3">
        <f t="shared" si="19"/>
        <v>0</v>
      </c>
      <c r="S116" s="3">
        <f t="shared" si="11"/>
        <v>0</v>
      </c>
    </row>
    <row r="117" spans="1:19" x14ac:dyDescent="0.25">
      <c r="B117" s="6" t="s">
        <v>90</v>
      </c>
      <c r="C117" t="s">
        <v>91</v>
      </c>
      <c r="E117" s="3">
        <v>0</v>
      </c>
      <c r="G117" s="3">
        <v>0</v>
      </c>
      <c r="H117" s="3">
        <f t="shared" si="12"/>
        <v>0</v>
      </c>
      <c r="I117" s="3">
        <f t="shared" si="13"/>
        <v>0</v>
      </c>
      <c r="J117" s="4">
        <f t="shared" si="18"/>
        <v>0</v>
      </c>
      <c r="L117" s="34"/>
      <c r="M117" s="3">
        <f t="shared" si="19"/>
        <v>0</v>
      </c>
      <c r="S117" s="3">
        <f t="shared" si="11"/>
        <v>0</v>
      </c>
    </row>
    <row r="118" spans="1:19" x14ac:dyDescent="0.25">
      <c r="B118" s="6" t="s">
        <v>90</v>
      </c>
      <c r="C118" t="s">
        <v>92</v>
      </c>
      <c r="E118" s="3">
        <v>0</v>
      </c>
      <c r="G118" s="3">
        <v>0</v>
      </c>
      <c r="H118" s="3">
        <f t="shared" si="12"/>
        <v>0</v>
      </c>
      <c r="I118" s="3">
        <f t="shared" si="13"/>
        <v>0</v>
      </c>
      <c r="J118" s="4">
        <f t="shared" si="18"/>
        <v>0</v>
      </c>
      <c r="L118" s="34"/>
      <c r="M118" s="3">
        <f t="shared" si="19"/>
        <v>0</v>
      </c>
      <c r="S118" s="3">
        <f t="shared" si="11"/>
        <v>0</v>
      </c>
    </row>
    <row r="119" spans="1:19" ht="30" x14ac:dyDescent="0.25">
      <c r="A119" t="s">
        <v>141</v>
      </c>
      <c r="B119" s="6" t="s">
        <v>90</v>
      </c>
      <c r="C119" t="s">
        <v>93</v>
      </c>
      <c r="D119" s="3">
        <v>58014873</v>
      </c>
      <c r="E119" s="3">
        <v>370832072</v>
      </c>
      <c r="F119" s="3">
        <v>48152785</v>
      </c>
      <c r="G119" s="3">
        <v>1045014001</v>
      </c>
      <c r="H119" s="3">
        <f t="shared" si="12"/>
        <v>428846945</v>
      </c>
      <c r="I119" s="3">
        <f t="shared" si="13"/>
        <v>874533428.80000007</v>
      </c>
      <c r="J119" s="4">
        <f t="shared" si="18"/>
        <v>1303380373.8000002</v>
      </c>
      <c r="K119" s="3">
        <v>139964006</v>
      </c>
      <c r="L119" s="34" t="s">
        <v>179</v>
      </c>
      <c r="M119" s="3">
        <f t="shared" si="19"/>
        <v>1163416367.8000002</v>
      </c>
      <c r="P119" s="3">
        <v>139964006</v>
      </c>
      <c r="S119" s="3">
        <f t="shared" si="11"/>
        <v>139964006</v>
      </c>
    </row>
    <row r="120" spans="1:19" x14ac:dyDescent="0.25">
      <c r="B120" s="6" t="s">
        <v>90</v>
      </c>
      <c r="C120" t="s">
        <v>94</v>
      </c>
      <c r="E120" s="3">
        <v>0</v>
      </c>
      <c r="G120" s="3">
        <v>0</v>
      </c>
      <c r="H120" s="3">
        <f t="shared" si="12"/>
        <v>0</v>
      </c>
      <c r="I120" s="3">
        <f t="shared" si="13"/>
        <v>0</v>
      </c>
      <c r="J120" s="4">
        <f t="shared" si="18"/>
        <v>0</v>
      </c>
      <c r="L120" s="34"/>
      <c r="M120" s="3">
        <f t="shared" si="19"/>
        <v>0</v>
      </c>
      <c r="S120" s="3">
        <f t="shared" si="11"/>
        <v>0</v>
      </c>
    </row>
    <row r="121" spans="1:19" x14ac:dyDescent="0.25">
      <c r="A121" t="s">
        <v>141</v>
      </c>
      <c r="B121" s="6" t="s">
        <v>90</v>
      </c>
      <c r="C121" t="s">
        <v>95</v>
      </c>
      <c r="E121" s="3">
        <v>338888151</v>
      </c>
      <c r="G121" s="3">
        <v>961816680</v>
      </c>
      <c r="H121" s="3">
        <f t="shared" si="12"/>
        <v>338888151</v>
      </c>
      <c r="I121" s="3">
        <f t="shared" si="13"/>
        <v>769453344</v>
      </c>
      <c r="J121" s="4">
        <f t="shared" si="18"/>
        <v>1108341495</v>
      </c>
      <c r="L121" s="34"/>
      <c r="M121" s="3">
        <f t="shared" si="19"/>
        <v>1108341495</v>
      </c>
      <c r="S121" s="3">
        <f t="shared" si="11"/>
        <v>0</v>
      </c>
    </row>
    <row r="122" spans="1:19" x14ac:dyDescent="0.25">
      <c r="A122" t="s">
        <v>141</v>
      </c>
      <c r="B122" s="6" t="s">
        <v>90</v>
      </c>
      <c r="C122" t="s">
        <v>96</v>
      </c>
      <c r="D122" s="3">
        <v>555785454</v>
      </c>
      <c r="E122" s="3">
        <v>305985764</v>
      </c>
      <c r="F122" s="3">
        <v>229357893</v>
      </c>
      <c r="G122" s="3">
        <v>860144937</v>
      </c>
      <c r="H122" s="3">
        <f t="shared" si="12"/>
        <v>861771218</v>
      </c>
      <c r="I122" s="3">
        <f t="shared" si="13"/>
        <v>871602264</v>
      </c>
      <c r="J122" s="4">
        <f t="shared" si="18"/>
        <v>1733373482</v>
      </c>
      <c r="L122" s="34"/>
      <c r="M122" s="3">
        <f t="shared" si="19"/>
        <v>1733373482</v>
      </c>
      <c r="S122" s="3">
        <f t="shared" si="11"/>
        <v>0</v>
      </c>
    </row>
    <row r="123" spans="1:19" x14ac:dyDescent="0.25">
      <c r="B123" s="6" t="s">
        <v>90</v>
      </c>
      <c r="C123" s="100" t="s">
        <v>97</v>
      </c>
      <c r="D123" s="96"/>
      <c r="E123" s="96">
        <v>352237475</v>
      </c>
      <c r="F123" s="96"/>
      <c r="G123" s="96">
        <v>995015436</v>
      </c>
      <c r="H123" s="96">
        <f t="shared" si="12"/>
        <v>352237475</v>
      </c>
      <c r="I123" s="96">
        <f t="shared" si="13"/>
        <v>796012348.80000007</v>
      </c>
      <c r="J123" s="98">
        <f>H123+I123</f>
        <v>1148249823.8000002</v>
      </c>
      <c r="K123" s="3">
        <v>351574872</v>
      </c>
      <c r="L123" s="34" t="s">
        <v>185</v>
      </c>
      <c r="M123" s="96">
        <f>J123-O123-O124-O125-P123-P124-P125-Q123-Q124-Q125-R123-R124-R125</f>
        <v>-125850105.19999981</v>
      </c>
      <c r="P123" s="3">
        <v>352000000</v>
      </c>
      <c r="S123" s="3">
        <f t="shared" si="11"/>
        <v>352000000</v>
      </c>
    </row>
    <row r="124" spans="1:19" ht="60" x14ac:dyDescent="0.25">
      <c r="B124" s="6" t="s">
        <v>90</v>
      </c>
      <c r="C124" s="100"/>
      <c r="D124" s="96"/>
      <c r="E124" s="96"/>
      <c r="F124" s="96"/>
      <c r="G124" s="96"/>
      <c r="H124" s="96"/>
      <c r="I124" s="96"/>
      <c r="J124" s="98"/>
      <c r="K124" s="3">
        <v>570099929</v>
      </c>
      <c r="L124" s="34" t="s">
        <v>195</v>
      </c>
      <c r="M124" s="96"/>
      <c r="R124" s="3">
        <v>570099929</v>
      </c>
      <c r="S124" s="3">
        <f t="shared" si="11"/>
        <v>570099929</v>
      </c>
    </row>
    <row r="125" spans="1:19" x14ac:dyDescent="0.25">
      <c r="B125" s="6" t="s">
        <v>90</v>
      </c>
      <c r="C125" s="100"/>
      <c r="D125" s="96"/>
      <c r="E125" s="96"/>
      <c r="F125" s="96"/>
      <c r="G125" s="96"/>
      <c r="H125" s="96"/>
      <c r="I125" s="96"/>
      <c r="J125" s="98"/>
      <c r="K125" s="3">
        <v>414059021</v>
      </c>
      <c r="L125" s="34" t="s">
        <v>185</v>
      </c>
      <c r="M125" s="96"/>
      <c r="N125" s="3">
        <v>62059021</v>
      </c>
      <c r="P125" s="3">
        <v>352000000</v>
      </c>
      <c r="S125" s="3">
        <f t="shared" si="11"/>
        <v>352000000</v>
      </c>
    </row>
    <row r="126" spans="1:19" hidden="1" x14ac:dyDescent="0.25">
      <c r="B126" s="6" t="s">
        <v>90</v>
      </c>
      <c r="C126" s="11"/>
      <c r="D126" s="12"/>
      <c r="E126" s="12"/>
      <c r="F126" s="12"/>
      <c r="G126" s="12"/>
      <c r="H126" s="3">
        <f t="shared" si="12"/>
        <v>0</v>
      </c>
      <c r="I126" s="3">
        <f t="shared" si="13"/>
        <v>0</v>
      </c>
      <c r="J126" s="14" t="e">
        <f>#REF!+#REF!</f>
        <v>#REF!</v>
      </c>
      <c r="K126" s="15">
        <f>K123+K124+K125</f>
        <v>1335733822</v>
      </c>
      <c r="L126" s="36"/>
      <c r="M126" s="15" t="e">
        <f>J126-K126</f>
        <v>#REF!</v>
      </c>
      <c r="N126" s="15">
        <f>N123+N124+N125</f>
        <v>62059021</v>
      </c>
      <c r="S126" s="3">
        <f t="shared" si="11"/>
        <v>0</v>
      </c>
    </row>
    <row r="127" spans="1:19" x14ac:dyDescent="0.25">
      <c r="A127" t="s">
        <v>141</v>
      </c>
      <c r="B127" s="6" t="s">
        <v>90</v>
      </c>
      <c r="C127" t="s">
        <v>98</v>
      </c>
      <c r="D127" s="3">
        <v>47025</v>
      </c>
      <c r="E127" s="3">
        <v>402033821</v>
      </c>
      <c r="F127" s="3">
        <v>88384</v>
      </c>
      <c r="G127" s="3">
        <v>1138462710</v>
      </c>
      <c r="H127" s="3">
        <f t="shared" si="12"/>
        <v>402080846</v>
      </c>
      <c r="I127" s="3">
        <f t="shared" si="13"/>
        <v>910840875.20000005</v>
      </c>
      <c r="J127" s="4">
        <f>H127+I127</f>
        <v>1312921721.2</v>
      </c>
      <c r="L127" s="34"/>
      <c r="M127" s="3">
        <f>J127-O127-P127-Q127-R127</f>
        <v>1312921721.2</v>
      </c>
      <c r="S127" s="3">
        <f t="shared" si="11"/>
        <v>0</v>
      </c>
    </row>
    <row r="128" spans="1:19" ht="60" x14ac:dyDescent="0.25">
      <c r="B128" s="6" t="s">
        <v>90</v>
      </c>
      <c r="C128" s="100" t="s">
        <v>99</v>
      </c>
      <c r="D128" s="96"/>
      <c r="E128" s="96">
        <v>383997440</v>
      </c>
      <c r="F128" s="96"/>
      <c r="G128" s="96">
        <v>1068881823</v>
      </c>
      <c r="H128" s="96">
        <f t="shared" si="12"/>
        <v>383997440</v>
      </c>
      <c r="I128" s="96">
        <f t="shared" si="13"/>
        <v>855105458.4000001</v>
      </c>
      <c r="J128" s="98">
        <f>H128+I128</f>
        <v>1239102898.4000001</v>
      </c>
      <c r="K128" s="3">
        <v>126759000</v>
      </c>
      <c r="L128" s="34" t="s">
        <v>183</v>
      </c>
      <c r="M128" s="96">
        <f>J128-O128-O129-O130-P128-P129-P130-Q128-Q129-Q130-R128-R129-R130</f>
        <v>574086937.4000001</v>
      </c>
      <c r="P128" s="3">
        <v>126759000</v>
      </c>
      <c r="S128" s="3">
        <f t="shared" si="11"/>
        <v>126759000</v>
      </c>
    </row>
    <row r="129" spans="1:19" ht="60" x14ac:dyDescent="0.25">
      <c r="B129" s="6" t="s">
        <v>90</v>
      </c>
      <c r="C129" s="100"/>
      <c r="D129" s="96"/>
      <c r="E129" s="96"/>
      <c r="F129" s="96"/>
      <c r="G129" s="96"/>
      <c r="H129" s="96"/>
      <c r="I129" s="96"/>
      <c r="J129" s="98"/>
      <c r="K129" s="3">
        <v>244819873</v>
      </c>
      <c r="L129" s="34" t="s">
        <v>183</v>
      </c>
      <c r="M129" s="96"/>
      <c r="P129" s="3">
        <v>244819873</v>
      </c>
      <c r="S129" s="3">
        <f t="shared" si="11"/>
        <v>244819873</v>
      </c>
    </row>
    <row r="130" spans="1:19" ht="60" x14ac:dyDescent="0.25">
      <c r="B130" s="6" t="s">
        <v>90</v>
      </c>
      <c r="C130" s="100"/>
      <c r="D130" s="96"/>
      <c r="E130" s="96"/>
      <c r="F130" s="96"/>
      <c r="G130" s="96"/>
      <c r="H130" s="96"/>
      <c r="I130" s="96"/>
      <c r="J130" s="98"/>
      <c r="K130" s="3">
        <v>293437088</v>
      </c>
      <c r="L130" s="34" t="s">
        <v>183</v>
      </c>
      <c r="M130" s="96"/>
      <c r="R130" s="3">
        <v>293437088</v>
      </c>
      <c r="S130" s="3">
        <f t="shared" si="11"/>
        <v>293437088</v>
      </c>
    </row>
    <row r="131" spans="1:19" hidden="1" x14ac:dyDescent="0.25">
      <c r="B131" s="6" t="s">
        <v>90</v>
      </c>
      <c r="C131" s="16"/>
      <c r="D131" s="17"/>
      <c r="E131" s="17"/>
      <c r="F131" s="17"/>
      <c r="G131" s="17"/>
      <c r="H131" s="3">
        <f t="shared" si="12"/>
        <v>0</v>
      </c>
      <c r="I131" s="3">
        <f t="shared" si="13"/>
        <v>0</v>
      </c>
      <c r="J131" s="14" t="e">
        <f>#REF!+#REF!</f>
        <v>#REF!</v>
      </c>
      <c r="K131" s="15">
        <f>K128+K129+K130</f>
        <v>665015961</v>
      </c>
      <c r="L131" s="36"/>
      <c r="M131" s="15" t="e">
        <f>J131-K131</f>
        <v>#REF!</v>
      </c>
      <c r="N131" s="15">
        <f>N128+N129+N130</f>
        <v>0</v>
      </c>
      <c r="S131" s="3">
        <f t="shared" si="11"/>
        <v>0</v>
      </c>
    </row>
    <row r="132" spans="1:19" x14ac:dyDescent="0.25">
      <c r="A132" s="6" t="s">
        <v>141</v>
      </c>
      <c r="B132" s="6" t="s">
        <v>90</v>
      </c>
      <c r="C132" t="s">
        <v>157</v>
      </c>
      <c r="D132" s="3">
        <v>631</v>
      </c>
      <c r="E132" s="3">
        <v>0</v>
      </c>
      <c r="G132" s="3">
        <v>0</v>
      </c>
      <c r="H132" s="3">
        <f t="shared" ref="H132:H178" si="20">D132+E132</f>
        <v>631</v>
      </c>
      <c r="I132" s="3">
        <f t="shared" ref="I132:I178" si="21">(F132+G132)*80%</f>
        <v>0</v>
      </c>
      <c r="J132" s="4">
        <f>H132+I132</f>
        <v>631</v>
      </c>
      <c r="L132" s="34"/>
      <c r="M132" s="3">
        <f>J132-O132-P132-Q132-R132</f>
        <v>631</v>
      </c>
      <c r="S132" s="3">
        <f t="shared" ref="S132:S180" si="22">O132+P132+Q132+R132</f>
        <v>0</v>
      </c>
    </row>
    <row r="133" spans="1:19" x14ac:dyDescent="0.25">
      <c r="B133" s="6" t="s">
        <v>90</v>
      </c>
      <c r="C133" t="s">
        <v>100</v>
      </c>
      <c r="D133" s="3">
        <v>1160311116</v>
      </c>
      <c r="E133" s="3">
        <v>0</v>
      </c>
      <c r="F133" s="3">
        <v>410388635</v>
      </c>
      <c r="G133" s="3">
        <v>0</v>
      </c>
      <c r="H133" s="3">
        <f t="shared" si="20"/>
        <v>1160311116</v>
      </c>
      <c r="I133" s="3">
        <f t="shared" si="21"/>
        <v>328310908</v>
      </c>
      <c r="J133" s="4">
        <f>H133+I133</f>
        <v>1488622024</v>
      </c>
      <c r="K133" s="3">
        <v>600000000</v>
      </c>
      <c r="L133" s="34" t="s">
        <v>185</v>
      </c>
      <c r="M133" s="3">
        <f>J133-O133-P133-Q133-R133</f>
        <v>888622024</v>
      </c>
      <c r="O133" s="3">
        <v>600000000</v>
      </c>
      <c r="S133" s="3">
        <f t="shared" si="22"/>
        <v>600000000</v>
      </c>
    </row>
    <row r="134" spans="1:19" x14ac:dyDescent="0.25">
      <c r="C134" s="6" t="s">
        <v>101</v>
      </c>
      <c r="H134" s="3">
        <f t="shared" si="20"/>
        <v>0</v>
      </c>
      <c r="I134" s="3">
        <f t="shared" si="21"/>
        <v>0</v>
      </c>
      <c r="J134" s="4">
        <f>H134+I134</f>
        <v>0</v>
      </c>
      <c r="L134" s="34"/>
      <c r="M134" s="3">
        <f>J134-O134-P134-Q134-R134</f>
        <v>0</v>
      </c>
      <c r="S134" s="3">
        <f t="shared" si="22"/>
        <v>0</v>
      </c>
    </row>
    <row r="135" spans="1:19" x14ac:dyDescent="0.25">
      <c r="A135" t="s">
        <v>20</v>
      </c>
      <c r="B135" s="6" t="s">
        <v>101</v>
      </c>
      <c r="C135" t="s">
        <v>102</v>
      </c>
      <c r="E135" s="3">
        <v>345656447</v>
      </c>
      <c r="G135" s="3">
        <v>960141099</v>
      </c>
      <c r="H135" s="3">
        <f t="shared" si="20"/>
        <v>345656447</v>
      </c>
      <c r="I135" s="3">
        <f t="shared" si="21"/>
        <v>768112879.20000005</v>
      </c>
      <c r="J135" s="4">
        <f>H135+I135</f>
        <v>1113769326.2</v>
      </c>
      <c r="K135" s="5">
        <v>74000000</v>
      </c>
      <c r="L135" s="38"/>
      <c r="M135" s="3">
        <f>J135-O135-P135-Q135-R135</f>
        <v>1039769326.2</v>
      </c>
      <c r="P135" s="5">
        <v>74000000</v>
      </c>
      <c r="S135" s="3">
        <f t="shared" si="22"/>
        <v>74000000</v>
      </c>
    </row>
    <row r="136" spans="1:19" ht="30" x14ac:dyDescent="0.25">
      <c r="A136" s="100">
        <v>2</v>
      </c>
      <c r="B136" s="6" t="s">
        <v>101</v>
      </c>
      <c r="C136" s="100" t="s">
        <v>103</v>
      </c>
      <c r="D136" s="96"/>
      <c r="E136" s="96">
        <v>139606606</v>
      </c>
      <c r="F136" s="96"/>
      <c r="G136" s="96">
        <v>376336419</v>
      </c>
      <c r="H136" s="96">
        <f t="shared" si="20"/>
        <v>139606606</v>
      </c>
      <c r="I136" s="96">
        <f t="shared" si="21"/>
        <v>301069135.19999999</v>
      </c>
      <c r="J136" s="98">
        <f>H136+I136</f>
        <v>440675741.19999999</v>
      </c>
      <c r="K136" s="5">
        <v>52100000</v>
      </c>
      <c r="L136" s="38" t="s">
        <v>179</v>
      </c>
      <c r="M136" s="96">
        <f>J136-O136-O137-P136-P137-Q136-Q137-R136-R137</f>
        <v>301075741.19999999</v>
      </c>
      <c r="P136" s="3">
        <v>52100000</v>
      </c>
      <c r="S136" s="3">
        <f t="shared" si="22"/>
        <v>52100000</v>
      </c>
    </row>
    <row r="137" spans="1:19" x14ac:dyDescent="0.25">
      <c r="A137" s="100"/>
      <c r="B137" s="6" t="s">
        <v>101</v>
      </c>
      <c r="C137" s="100"/>
      <c r="D137" s="96"/>
      <c r="E137" s="96"/>
      <c r="F137" s="96"/>
      <c r="G137" s="96"/>
      <c r="H137" s="96"/>
      <c r="I137" s="96"/>
      <c r="J137" s="98"/>
      <c r="K137" s="5">
        <v>87500000</v>
      </c>
      <c r="L137" s="38" t="s">
        <v>194</v>
      </c>
      <c r="M137" s="96"/>
      <c r="P137" s="3">
        <v>87500000</v>
      </c>
      <c r="S137" s="3">
        <f t="shared" si="22"/>
        <v>87500000</v>
      </c>
    </row>
    <row r="138" spans="1:19" hidden="1" x14ac:dyDescent="0.25">
      <c r="A138" s="1"/>
      <c r="B138" s="6" t="s">
        <v>101</v>
      </c>
      <c r="C138" s="11"/>
      <c r="D138" s="12"/>
      <c r="E138" s="12"/>
      <c r="F138" s="12"/>
      <c r="G138" s="12"/>
      <c r="H138" s="3">
        <f t="shared" si="20"/>
        <v>0</v>
      </c>
      <c r="I138" s="3">
        <f t="shared" si="21"/>
        <v>0</v>
      </c>
      <c r="J138" s="14" t="e">
        <f>#REF!+#REF!</f>
        <v>#REF!</v>
      </c>
      <c r="K138" s="12">
        <f>K136+K137</f>
        <v>139600000</v>
      </c>
      <c r="L138" s="39"/>
      <c r="M138" s="15" t="e">
        <f>J138-K138</f>
        <v>#REF!</v>
      </c>
      <c r="N138" s="15">
        <f>N136+N137</f>
        <v>0</v>
      </c>
      <c r="S138" s="3">
        <f t="shared" si="22"/>
        <v>0</v>
      </c>
    </row>
    <row r="139" spans="1:19" x14ac:dyDescent="0.25">
      <c r="B139" s="6" t="s">
        <v>101</v>
      </c>
      <c r="C139" t="s">
        <v>104</v>
      </c>
      <c r="E139" s="3">
        <v>0</v>
      </c>
      <c r="G139" s="3">
        <v>0</v>
      </c>
      <c r="H139" s="3">
        <f t="shared" si="20"/>
        <v>0</v>
      </c>
      <c r="I139" s="3">
        <f t="shared" si="21"/>
        <v>0</v>
      </c>
      <c r="J139" s="4">
        <f>H139+I139</f>
        <v>0</v>
      </c>
      <c r="L139" s="34"/>
      <c r="M139" s="3">
        <f>J139-O139-P139-Q139-R139</f>
        <v>0</v>
      </c>
      <c r="S139" s="3">
        <f t="shared" si="22"/>
        <v>0</v>
      </c>
    </row>
    <row r="140" spans="1:19" x14ac:dyDescent="0.25">
      <c r="A140">
        <v>1</v>
      </c>
      <c r="B140" s="6" t="s">
        <v>101</v>
      </c>
      <c r="C140" t="s">
        <v>105</v>
      </c>
      <c r="E140" s="3">
        <v>238233689</v>
      </c>
      <c r="G140" s="3">
        <v>673785570</v>
      </c>
      <c r="H140" s="3">
        <f t="shared" si="20"/>
        <v>238233689</v>
      </c>
      <c r="I140" s="3">
        <f t="shared" si="21"/>
        <v>539028456</v>
      </c>
      <c r="J140" s="4">
        <f t="shared" ref="J140:J151" si="23">H140+I140</f>
        <v>777262145</v>
      </c>
      <c r="K140" s="33">
        <v>238225488</v>
      </c>
      <c r="L140" s="34" t="s">
        <v>193</v>
      </c>
      <c r="M140" s="3">
        <f t="shared" ref="M140:M151" si="24">J140-O140-P140-Q140-R140</f>
        <v>539036657</v>
      </c>
      <c r="R140" s="3">
        <v>238225488</v>
      </c>
      <c r="S140" s="3">
        <f t="shared" si="22"/>
        <v>238225488</v>
      </c>
    </row>
    <row r="141" spans="1:19" ht="45" x14ac:dyDescent="0.25">
      <c r="A141">
        <v>1</v>
      </c>
      <c r="B141" s="6" t="s">
        <v>101</v>
      </c>
      <c r="C141" t="s">
        <v>106</v>
      </c>
      <c r="E141" s="3">
        <v>171293632</v>
      </c>
      <c r="G141" s="3">
        <v>467311930</v>
      </c>
      <c r="H141" s="3">
        <f t="shared" si="20"/>
        <v>171293632</v>
      </c>
      <c r="I141" s="3">
        <f t="shared" si="21"/>
        <v>373849544</v>
      </c>
      <c r="J141" s="4">
        <f t="shared" si="23"/>
        <v>545143176</v>
      </c>
      <c r="K141" s="3">
        <v>171293632</v>
      </c>
      <c r="L141" s="34" t="s">
        <v>182</v>
      </c>
      <c r="M141" s="3">
        <f t="shared" si="24"/>
        <v>373849544</v>
      </c>
      <c r="P141" s="3">
        <v>171293632</v>
      </c>
      <c r="S141" s="3">
        <f t="shared" si="22"/>
        <v>171293632</v>
      </c>
    </row>
    <row r="142" spans="1:19" x14ac:dyDescent="0.25">
      <c r="A142" t="s">
        <v>141</v>
      </c>
      <c r="B142" s="6" t="s">
        <v>101</v>
      </c>
      <c r="C142" t="s">
        <v>107</v>
      </c>
      <c r="E142" s="3">
        <v>346096672</v>
      </c>
      <c r="G142" s="3">
        <v>965702273</v>
      </c>
      <c r="H142" s="3">
        <f t="shared" si="20"/>
        <v>346096672</v>
      </c>
      <c r="I142" s="3">
        <f t="shared" si="21"/>
        <v>772561818.4000001</v>
      </c>
      <c r="J142" s="4">
        <f t="shared" si="23"/>
        <v>1118658490.4000001</v>
      </c>
      <c r="L142" s="34"/>
      <c r="M142" s="3">
        <f t="shared" si="24"/>
        <v>1118658490.4000001</v>
      </c>
      <c r="S142" s="3">
        <f t="shared" si="22"/>
        <v>0</v>
      </c>
    </row>
    <row r="143" spans="1:19" x14ac:dyDescent="0.25">
      <c r="A143">
        <v>2</v>
      </c>
      <c r="B143" s="6" t="s">
        <v>101</v>
      </c>
      <c r="C143" t="s">
        <v>108</v>
      </c>
      <c r="E143" s="3">
        <v>326900170</v>
      </c>
      <c r="G143" s="3">
        <v>907632550</v>
      </c>
      <c r="H143" s="3">
        <f t="shared" si="20"/>
        <v>326900170</v>
      </c>
      <c r="I143" s="3">
        <f t="shared" si="21"/>
        <v>726106040</v>
      </c>
      <c r="J143" s="4">
        <f t="shared" si="23"/>
        <v>1053006210</v>
      </c>
      <c r="K143" s="3">
        <v>622986906</v>
      </c>
      <c r="L143" s="34" t="s">
        <v>193</v>
      </c>
      <c r="M143" s="3">
        <f t="shared" si="24"/>
        <v>430019304</v>
      </c>
      <c r="P143" s="3">
        <v>326974474</v>
      </c>
      <c r="R143" s="3">
        <v>296012432</v>
      </c>
      <c r="S143" s="3">
        <f t="shared" si="22"/>
        <v>622986906</v>
      </c>
    </row>
    <row r="144" spans="1:19" x14ac:dyDescent="0.25">
      <c r="A144" t="s">
        <v>141</v>
      </c>
      <c r="B144" s="6" t="s">
        <v>101</v>
      </c>
      <c r="C144" t="s">
        <v>109</v>
      </c>
      <c r="E144" s="3">
        <v>486412398</v>
      </c>
      <c r="G144" s="3">
        <v>1349210678</v>
      </c>
      <c r="H144" s="3">
        <f t="shared" si="20"/>
        <v>486412398</v>
      </c>
      <c r="I144" s="3">
        <f t="shared" si="21"/>
        <v>1079368542.4000001</v>
      </c>
      <c r="J144" s="4">
        <f t="shared" si="23"/>
        <v>1565780940.4000001</v>
      </c>
      <c r="L144" s="34"/>
      <c r="M144" s="3">
        <f t="shared" si="24"/>
        <v>1565780940.4000001</v>
      </c>
      <c r="S144" s="3">
        <f t="shared" si="22"/>
        <v>0</v>
      </c>
    </row>
    <row r="145" spans="1:19" x14ac:dyDescent="0.25">
      <c r="A145">
        <v>1</v>
      </c>
      <c r="B145" s="6" t="s">
        <v>101</v>
      </c>
      <c r="C145" t="s">
        <v>110</v>
      </c>
      <c r="E145" s="3">
        <v>147750325</v>
      </c>
      <c r="G145" s="3">
        <v>400911330</v>
      </c>
      <c r="H145" s="3">
        <f t="shared" si="20"/>
        <v>147750325</v>
      </c>
      <c r="I145" s="3">
        <f t="shared" si="21"/>
        <v>320729064</v>
      </c>
      <c r="J145" s="4">
        <f t="shared" si="23"/>
        <v>468479389</v>
      </c>
      <c r="K145" s="3">
        <v>147750325</v>
      </c>
      <c r="L145" s="34" t="s">
        <v>185</v>
      </c>
      <c r="M145" s="3">
        <f t="shared" si="24"/>
        <v>320729064</v>
      </c>
      <c r="P145" s="3">
        <v>147750325</v>
      </c>
      <c r="S145" s="3">
        <f t="shared" si="22"/>
        <v>147750325</v>
      </c>
    </row>
    <row r="146" spans="1:19" x14ac:dyDescent="0.25">
      <c r="A146" t="s">
        <v>141</v>
      </c>
      <c r="B146" s="6" t="s">
        <v>101</v>
      </c>
      <c r="C146" t="s">
        <v>111</v>
      </c>
      <c r="E146" s="3">
        <v>177663154</v>
      </c>
      <c r="G146" s="3">
        <v>493034200</v>
      </c>
      <c r="H146" s="3">
        <f t="shared" si="20"/>
        <v>177663154</v>
      </c>
      <c r="I146" s="3">
        <f t="shared" si="21"/>
        <v>394427360</v>
      </c>
      <c r="J146" s="4">
        <f t="shared" si="23"/>
        <v>572090514</v>
      </c>
      <c r="L146" s="34"/>
      <c r="M146" s="3">
        <f t="shared" si="24"/>
        <v>572090514</v>
      </c>
      <c r="S146" s="3">
        <f t="shared" si="22"/>
        <v>0</v>
      </c>
    </row>
    <row r="147" spans="1:19" x14ac:dyDescent="0.25">
      <c r="C147" s="6" t="s">
        <v>112</v>
      </c>
      <c r="H147" s="3">
        <f t="shared" si="20"/>
        <v>0</v>
      </c>
      <c r="I147" s="3">
        <f t="shared" si="21"/>
        <v>0</v>
      </c>
      <c r="J147" s="4">
        <f t="shared" si="23"/>
        <v>0</v>
      </c>
      <c r="L147" s="34"/>
      <c r="M147" s="3">
        <f t="shared" si="24"/>
        <v>0</v>
      </c>
      <c r="S147" s="3">
        <f t="shared" si="22"/>
        <v>0</v>
      </c>
    </row>
    <row r="148" spans="1:19" x14ac:dyDescent="0.25">
      <c r="A148" t="s">
        <v>141</v>
      </c>
      <c r="B148" s="6" t="s">
        <v>112</v>
      </c>
      <c r="C148" t="s">
        <v>113</v>
      </c>
      <c r="E148" s="3">
        <v>380691577</v>
      </c>
      <c r="G148" s="3">
        <v>1067716483</v>
      </c>
      <c r="H148" s="3">
        <f t="shared" si="20"/>
        <v>380691577</v>
      </c>
      <c r="I148" s="3">
        <f t="shared" si="21"/>
        <v>854173186.4000001</v>
      </c>
      <c r="J148" s="4">
        <f t="shared" si="23"/>
        <v>1234864763.4000001</v>
      </c>
      <c r="L148" s="34"/>
      <c r="M148" s="3">
        <f t="shared" si="24"/>
        <v>1234864763.4000001</v>
      </c>
      <c r="S148" s="3">
        <f t="shared" si="22"/>
        <v>0</v>
      </c>
    </row>
    <row r="149" spans="1:19" x14ac:dyDescent="0.25">
      <c r="A149" t="s">
        <v>141</v>
      </c>
      <c r="B149" s="6" t="s">
        <v>112</v>
      </c>
      <c r="C149" t="s">
        <v>114</v>
      </c>
      <c r="E149" s="3">
        <v>362036729</v>
      </c>
      <c r="G149" s="3">
        <v>994905584</v>
      </c>
      <c r="H149" s="3">
        <f t="shared" si="20"/>
        <v>362036729</v>
      </c>
      <c r="I149" s="3">
        <f t="shared" si="21"/>
        <v>795924467.20000005</v>
      </c>
      <c r="J149" s="4">
        <f t="shared" si="23"/>
        <v>1157961196.2</v>
      </c>
      <c r="L149" s="34"/>
      <c r="M149" s="3">
        <f t="shared" si="24"/>
        <v>1157961196.2</v>
      </c>
      <c r="S149" s="3">
        <f t="shared" si="22"/>
        <v>0</v>
      </c>
    </row>
    <row r="150" spans="1:19" x14ac:dyDescent="0.25">
      <c r="B150" s="6" t="s">
        <v>112</v>
      </c>
      <c r="C150" t="s">
        <v>115</v>
      </c>
      <c r="E150" s="3">
        <v>239198775</v>
      </c>
      <c r="G150" s="3">
        <v>649105200</v>
      </c>
      <c r="H150" s="3">
        <f t="shared" si="20"/>
        <v>239198775</v>
      </c>
      <c r="I150" s="3">
        <f t="shared" si="21"/>
        <v>519284160</v>
      </c>
      <c r="J150" s="4">
        <f t="shared" si="23"/>
        <v>758482935</v>
      </c>
      <c r="K150" s="33">
        <v>339228053</v>
      </c>
      <c r="L150" s="34" t="s">
        <v>193</v>
      </c>
      <c r="M150" s="3">
        <f t="shared" si="24"/>
        <v>419254882</v>
      </c>
      <c r="R150" s="3">
        <v>339228053</v>
      </c>
      <c r="S150" s="3">
        <f t="shared" si="22"/>
        <v>339228053</v>
      </c>
    </row>
    <row r="151" spans="1:19" ht="30" x14ac:dyDescent="0.25">
      <c r="B151" s="6" t="s">
        <v>112</v>
      </c>
      <c r="C151" t="s">
        <v>116</v>
      </c>
      <c r="E151" s="3">
        <v>286092861</v>
      </c>
      <c r="G151" s="3">
        <v>790551725</v>
      </c>
      <c r="H151" s="3">
        <f t="shared" si="20"/>
        <v>286092861</v>
      </c>
      <c r="I151" s="3">
        <f t="shared" si="21"/>
        <v>632441380</v>
      </c>
      <c r="J151" s="4">
        <f t="shared" si="23"/>
        <v>918534241</v>
      </c>
      <c r="K151" s="4">
        <v>74803102</v>
      </c>
      <c r="L151" s="40" t="s">
        <v>179</v>
      </c>
      <c r="M151" s="3">
        <f t="shared" si="24"/>
        <v>843731139</v>
      </c>
      <c r="P151" s="4">
        <v>74803102</v>
      </c>
      <c r="S151" s="3">
        <f t="shared" si="22"/>
        <v>74803102</v>
      </c>
    </row>
    <row r="152" spans="1:19" ht="45" x14ac:dyDescent="0.25">
      <c r="B152" s="6" t="s">
        <v>112</v>
      </c>
      <c r="C152" s="100" t="s">
        <v>117</v>
      </c>
      <c r="D152" s="96"/>
      <c r="E152" s="96">
        <v>454362348</v>
      </c>
      <c r="F152" s="96"/>
      <c r="G152" s="96">
        <v>1264612419</v>
      </c>
      <c r="H152" s="96">
        <f t="shared" si="20"/>
        <v>454362348</v>
      </c>
      <c r="I152" s="96">
        <f t="shared" si="21"/>
        <v>1011689935.2</v>
      </c>
      <c r="J152" s="98">
        <f>H152+I152</f>
        <v>1466052283.2</v>
      </c>
      <c r="K152" s="4">
        <v>183787500</v>
      </c>
      <c r="L152" s="40" t="s">
        <v>192</v>
      </c>
      <c r="M152" s="96">
        <f>J152-O152-O153-O154-P152-P153-P154-Q152-Q153-Q154-R152-R153-R154</f>
        <v>1024897883.2</v>
      </c>
      <c r="P152" s="3">
        <v>183787500</v>
      </c>
      <c r="S152" s="3">
        <f t="shared" si="22"/>
        <v>183787500</v>
      </c>
    </row>
    <row r="153" spans="1:19" x14ac:dyDescent="0.25">
      <c r="B153" s="6" t="s">
        <v>112</v>
      </c>
      <c r="C153" s="100"/>
      <c r="D153" s="96"/>
      <c r="E153" s="96"/>
      <c r="F153" s="96"/>
      <c r="G153" s="96"/>
      <c r="H153" s="96"/>
      <c r="I153" s="96"/>
      <c r="J153" s="98"/>
      <c r="K153" s="4">
        <v>125366900</v>
      </c>
      <c r="L153" s="40" t="s">
        <v>185</v>
      </c>
      <c r="M153" s="96"/>
      <c r="P153" s="3">
        <v>125366900</v>
      </c>
      <c r="S153" s="3">
        <f t="shared" si="22"/>
        <v>125366900</v>
      </c>
    </row>
    <row r="154" spans="1:19" ht="60" x14ac:dyDescent="0.25">
      <c r="B154" s="6" t="s">
        <v>112</v>
      </c>
      <c r="C154" s="100"/>
      <c r="D154" s="96"/>
      <c r="E154" s="96"/>
      <c r="F154" s="96"/>
      <c r="G154" s="96"/>
      <c r="H154" s="96"/>
      <c r="I154" s="96"/>
      <c r="J154" s="98"/>
      <c r="K154" s="3">
        <v>132000000</v>
      </c>
      <c r="L154" s="34" t="s">
        <v>195</v>
      </c>
      <c r="M154" s="96"/>
      <c r="P154" s="3">
        <v>132000000</v>
      </c>
      <c r="S154" s="3">
        <f t="shared" si="22"/>
        <v>132000000</v>
      </c>
    </row>
    <row r="155" spans="1:19" hidden="1" x14ac:dyDescent="0.25">
      <c r="B155" s="6" t="s">
        <v>112</v>
      </c>
      <c r="C155" s="11"/>
      <c r="D155" s="12"/>
      <c r="E155" s="12"/>
      <c r="F155" s="12"/>
      <c r="G155" s="12"/>
      <c r="H155" s="3">
        <f t="shared" si="20"/>
        <v>0</v>
      </c>
      <c r="I155" s="3">
        <f t="shared" si="21"/>
        <v>0</v>
      </c>
      <c r="J155" s="14" t="e">
        <f>#REF!+#REF!</f>
        <v>#REF!</v>
      </c>
      <c r="K155" s="15">
        <f>K152+K153+K154</f>
        <v>441154400</v>
      </c>
      <c r="L155" s="36"/>
      <c r="M155" s="15" t="e">
        <f>J155-K155</f>
        <v>#REF!</v>
      </c>
      <c r="N155" s="15">
        <f>N152+N153+N154</f>
        <v>0</v>
      </c>
      <c r="S155" s="3">
        <f t="shared" si="22"/>
        <v>0</v>
      </c>
    </row>
    <row r="156" spans="1:19" x14ac:dyDescent="0.25">
      <c r="B156" s="6" t="s">
        <v>112</v>
      </c>
      <c r="C156" t="s">
        <v>118</v>
      </c>
      <c r="E156" s="3">
        <v>579385097</v>
      </c>
      <c r="G156" s="3">
        <v>1625534526</v>
      </c>
      <c r="H156" s="3">
        <f t="shared" si="20"/>
        <v>579385097</v>
      </c>
      <c r="I156" s="3">
        <f t="shared" si="21"/>
        <v>1300427620.8000002</v>
      </c>
      <c r="J156" s="4">
        <f>H156+I156</f>
        <v>1879812717.8000002</v>
      </c>
      <c r="K156" s="3">
        <v>571091167</v>
      </c>
      <c r="L156" s="34" t="s">
        <v>193</v>
      </c>
      <c r="M156" s="3">
        <f>J156-O156-P156-Q156-R156</f>
        <v>1879812717.8000002</v>
      </c>
      <c r="S156" s="3">
        <f t="shared" si="22"/>
        <v>0</v>
      </c>
    </row>
    <row r="157" spans="1:19" ht="30" x14ac:dyDescent="0.25">
      <c r="B157" s="6" t="s">
        <v>112</v>
      </c>
      <c r="C157" t="s">
        <v>119</v>
      </c>
      <c r="E157" s="3">
        <v>250250965</v>
      </c>
      <c r="G157" s="3">
        <v>678457127</v>
      </c>
      <c r="H157" s="3">
        <f t="shared" si="20"/>
        <v>250250965</v>
      </c>
      <c r="I157" s="3">
        <f t="shared" si="21"/>
        <v>542765701.60000002</v>
      </c>
      <c r="J157" s="4">
        <f>H157+I157</f>
        <v>793016666.60000002</v>
      </c>
      <c r="K157" s="3">
        <v>265476375</v>
      </c>
      <c r="L157" s="34" t="s">
        <v>196</v>
      </c>
      <c r="M157" s="3">
        <f>J157-O157-P157-Q157-R157</f>
        <v>542765701.60000002</v>
      </c>
      <c r="N157" s="3">
        <v>15225410</v>
      </c>
      <c r="P157" s="3">
        <v>250250965</v>
      </c>
      <c r="S157" s="3">
        <f t="shared" si="22"/>
        <v>250250965</v>
      </c>
    </row>
    <row r="158" spans="1:19" x14ac:dyDescent="0.25">
      <c r="B158" s="6" t="s">
        <v>112</v>
      </c>
      <c r="C158" t="s">
        <v>120</v>
      </c>
      <c r="E158" s="3">
        <v>370968649</v>
      </c>
      <c r="G158" s="3">
        <v>1031833005</v>
      </c>
      <c r="H158" s="3">
        <f t="shared" si="20"/>
        <v>370968649</v>
      </c>
      <c r="I158" s="3">
        <f t="shared" si="21"/>
        <v>825466404</v>
      </c>
      <c r="J158" s="4">
        <f>H158+I158</f>
        <v>1196435053</v>
      </c>
      <c r="K158" s="3">
        <v>370968649</v>
      </c>
      <c r="L158" s="34" t="s">
        <v>193</v>
      </c>
      <c r="M158" s="3">
        <f>J158-O158-P158-Q158-R158</f>
        <v>825466404</v>
      </c>
      <c r="P158" s="3">
        <v>370968649</v>
      </c>
      <c r="S158" s="3">
        <f t="shared" si="22"/>
        <v>370968649</v>
      </c>
    </row>
    <row r="159" spans="1:19" x14ac:dyDescent="0.25">
      <c r="B159" s="6" t="s">
        <v>112</v>
      </c>
      <c r="C159" s="100" t="s">
        <v>121</v>
      </c>
      <c r="D159" s="96"/>
      <c r="E159" s="96">
        <v>274728280</v>
      </c>
      <c r="F159" s="96"/>
      <c r="G159" s="96">
        <v>771356940</v>
      </c>
      <c r="H159" s="96">
        <f t="shared" si="20"/>
        <v>274728280</v>
      </c>
      <c r="I159" s="96">
        <f t="shared" si="21"/>
        <v>617085552</v>
      </c>
      <c r="J159" s="98">
        <f>H159+I159</f>
        <v>891813832</v>
      </c>
      <c r="K159" s="3">
        <v>174728280</v>
      </c>
      <c r="L159" s="34" t="s">
        <v>186</v>
      </c>
      <c r="M159" s="96">
        <f>J159-O159-O160-P159-P160-Q159-Q160-R159-R160</f>
        <v>891813832</v>
      </c>
      <c r="S159" s="3">
        <f t="shared" si="22"/>
        <v>0</v>
      </c>
    </row>
    <row r="160" spans="1:19" ht="30" x14ac:dyDescent="0.25">
      <c r="B160" s="6" t="s">
        <v>112</v>
      </c>
      <c r="C160" s="100"/>
      <c r="D160" s="96"/>
      <c r="E160" s="96"/>
      <c r="F160" s="96"/>
      <c r="G160" s="96"/>
      <c r="H160" s="96"/>
      <c r="I160" s="96"/>
      <c r="J160" s="98"/>
      <c r="K160" s="3">
        <v>100000000</v>
      </c>
      <c r="L160" s="34" t="s">
        <v>196</v>
      </c>
      <c r="M160" s="96"/>
      <c r="S160" s="3">
        <f t="shared" si="22"/>
        <v>0</v>
      </c>
    </row>
    <row r="161" spans="1:19" hidden="1" x14ac:dyDescent="0.25">
      <c r="B161" s="6" t="s">
        <v>112</v>
      </c>
      <c r="C161" s="11"/>
      <c r="D161" s="12"/>
      <c r="E161" s="12"/>
      <c r="F161" s="12"/>
      <c r="G161" s="12"/>
      <c r="H161" s="3">
        <f t="shared" si="20"/>
        <v>0</v>
      </c>
      <c r="I161" s="3">
        <f t="shared" si="21"/>
        <v>0</v>
      </c>
      <c r="J161" s="14" t="e">
        <f>#REF!+#REF!</f>
        <v>#REF!</v>
      </c>
      <c r="K161" s="15">
        <f>K159+K160</f>
        <v>274728280</v>
      </c>
      <c r="L161" s="36"/>
      <c r="M161" s="15" t="e">
        <f>J161-K161</f>
        <v>#REF!</v>
      </c>
      <c r="N161" s="15">
        <f>N159+N160</f>
        <v>0</v>
      </c>
      <c r="S161" s="3">
        <f t="shared" si="22"/>
        <v>0</v>
      </c>
    </row>
    <row r="162" spans="1:19" x14ac:dyDescent="0.25">
      <c r="A162" t="s">
        <v>141</v>
      </c>
      <c r="B162" s="6" t="s">
        <v>112</v>
      </c>
      <c r="C162" t="s">
        <v>122</v>
      </c>
      <c r="E162" s="3">
        <v>409329019</v>
      </c>
      <c r="G162" s="3">
        <v>1109873508</v>
      </c>
      <c r="H162" s="3">
        <f t="shared" si="20"/>
        <v>409329019</v>
      </c>
      <c r="I162" s="3">
        <f t="shared" si="21"/>
        <v>887898806.4000001</v>
      </c>
      <c r="J162" s="4">
        <f>H162+I162</f>
        <v>1297227825.4000001</v>
      </c>
      <c r="L162" s="34"/>
      <c r="M162" s="3">
        <f>J162-O162-P162-Q162-R162</f>
        <v>1297227825.4000001</v>
      </c>
      <c r="S162" s="3">
        <f t="shared" si="22"/>
        <v>0</v>
      </c>
    </row>
    <row r="163" spans="1:19" x14ac:dyDescent="0.25">
      <c r="C163" s="6" t="s">
        <v>123</v>
      </c>
      <c r="H163" s="3">
        <f t="shared" si="20"/>
        <v>0</v>
      </c>
      <c r="I163" s="3">
        <f t="shared" si="21"/>
        <v>0</v>
      </c>
      <c r="J163" s="4"/>
      <c r="L163" s="34"/>
      <c r="S163" s="3">
        <f t="shared" si="22"/>
        <v>0</v>
      </c>
    </row>
    <row r="164" spans="1:19" x14ac:dyDescent="0.25">
      <c r="B164" s="6" t="s">
        <v>123</v>
      </c>
      <c r="C164" s="100" t="s">
        <v>124</v>
      </c>
      <c r="D164" s="96"/>
      <c r="E164" s="96">
        <v>272018574</v>
      </c>
      <c r="F164" s="96"/>
      <c r="G164" s="96">
        <v>747388886</v>
      </c>
      <c r="H164" s="96">
        <f t="shared" si="20"/>
        <v>272018574</v>
      </c>
      <c r="I164" s="96">
        <f t="shared" si="21"/>
        <v>597911108.80000007</v>
      </c>
      <c r="J164" s="98">
        <f>H164+I164</f>
        <v>869929682.80000007</v>
      </c>
      <c r="K164" s="3">
        <v>134264519</v>
      </c>
      <c r="L164" s="34" t="s">
        <v>185</v>
      </c>
      <c r="M164" s="96">
        <f>J164-O164-O165-P164-P165-Q164-Q165-R164-R165</f>
        <v>597911108.80000007</v>
      </c>
      <c r="N164" s="3">
        <f>K164-O164</f>
        <v>72245945</v>
      </c>
      <c r="O164" s="3">
        <v>62018574</v>
      </c>
      <c r="S164" s="3">
        <f t="shared" si="22"/>
        <v>62018574</v>
      </c>
    </row>
    <row r="165" spans="1:19" ht="30" x14ac:dyDescent="0.25">
      <c r="B165" s="6" t="s">
        <v>123</v>
      </c>
      <c r="C165" s="100"/>
      <c r="D165" s="96"/>
      <c r="E165" s="96"/>
      <c r="F165" s="96"/>
      <c r="G165" s="96"/>
      <c r="H165" s="96"/>
      <c r="I165" s="96"/>
      <c r="J165" s="98"/>
      <c r="K165" s="3">
        <v>299000000</v>
      </c>
      <c r="L165" s="34" t="s">
        <v>196</v>
      </c>
      <c r="M165" s="96"/>
      <c r="N165" s="3">
        <f>K165-O165</f>
        <v>89000000</v>
      </c>
      <c r="O165" s="3">
        <v>210000000</v>
      </c>
      <c r="S165" s="3">
        <f t="shared" si="22"/>
        <v>210000000</v>
      </c>
    </row>
    <row r="166" spans="1:19" hidden="1" x14ac:dyDescent="0.25">
      <c r="B166" s="6" t="s">
        <v>123</v>
      </c>
      <c r="C166" s="11"/>
      <c r="D166" s="12"/>
      <c r="E166" s="12"/>
      <c r="F166" s="12"/>
      <c r="G166" s="12"/>
      <c r="H166" s="3">
        <f t="shared" si="20"/>
        <v>0</v>
      </c>
      <c r="I166" s="3">
        <f t="shared" si="21"/>
        <v>0</v>
      </c>
      <c r="J166" s="14" t="e">
        <f>#REF!+#REF!</f>
        <v>#REF!</v>
      </c>
      <c r="K166" s="15">
        <f>K164+K165</f>
        <v>433264519</v>
      </c>
      <c r="L166" s="36"/>
      <c r="M166" s="15" t="e">
        <f>J166-K166</f>
        <v>#REF!</v>
      </c>
      <c r="N166" s="15">
        <f>N164+N165</f>
        <v>161245945</v>
      </c>
      <c r="S166" s="3">
        <f t="shared" si="22"/>
        <v>0</v>
      </c>
    </row>
    <row r="167" spans="1:19" x14ac:dyDescent="0.25">
      <c r="B167" s="6" t="s">
        <v>123</v>
      </c>
      <c r="C167" t="s">
        <v>125</v>
      </c>
      <c r="D167" s="3">
        <v>355749253</v>
      </c>
      <c r="E167" s="3">
        <v>225054422</v>
      </c>
      <c r="F167" s="3">
        <v>420564098</v>
      </c>
      <c r="G167" s="3">
        <v>616156240</v>
      </c>
      <c r="H167" s="3">
        <f t="shared" si="20"/>
        <v>580803675</v>
      </c>
      <c r="I167" s="3">
        <f t="shared" si="21"/>
        <v>829376270.4000001</v>
      </c>
      <c r="J167" s="4">
        <f>H167+I167</f>
        <v>1410179945.4000001</v>
      </c>
      <c r="K167" s="3">
        <v>540736628</v>
      </c>
      <c r="L167" s="34" t="s">
        <v>193</v>
      </c>
      <c r="M167" s="3">
        <f>J167-O167-P167-Q167-R167</f>
        <v>869443317.4000001</v>
      </c>
      <c r="O167" s="3">
        <v>355749253</v>
      </c>
      <c r="P167" s="3">
        <v>184987375</v>
      </c>
      <c r="S167" s="3">
        <f t="shared" si="22"/>
        <v>540736628</v>
      </c>
    </row>
    <row r="168" spans="1:19" x14ac:dyDescent="0.25">
      <c r="A168" t="s">
        <v>141</v>
      </c>
      <c r="B168" s="6" t="s">
        <v>123</v>
      </c>
      <c r="C168" t="s">
        <v>126</v>
      </c>
      <c r="E168" s="3">
        <v>207846274</v>
      </c>
      <c r="G168" s="3">
        <v>579833428</v>
      </c>
      <c r="H168" s="3">
        <f t="shared" si="20"/>
        <v>207846274</v>
      </c>
      <c r="I168" s="3">
        <f t="shared" si="21"/>
        <v>463866742.40000004</v>
      </c>
      <c r="J168" s="4">
        <f>H168+I168</f>
        <v>671713016.4000001</v>
      </c>
      <c r="L168" s="34"/>
      <c r="M168" s="3">
        <f>J168-O168-P168-Q168-R168</f>
        <v>671713016.4000001</v>
      </c>
      <c r="S168" s="3">
        <f t="shared" si="22"/>
        <v>0</v>
      </c>
    </row>
    <row r="169" spans="1:19" x14ac:dyDescent="0.25">
      <c r="B169" s="6" t="s">
        <v>123</v>
      </c>
      <c r="C169" s="100" t="s">
        <v>127</v>
      </c>
      <c r="D169" s="96">
        <v>389828725</v>
      </c>
      <c r="E169" s="96">
        <v>369892065</v>
      </c>
      <c r="F169" s="96">
        <v>718028383</v>
      </c>
      <c r="G169" s="96">
        <v>1022846748</v>
      </c>
      <c r="H169" s="96">
        <f t="shared" si="20"/>
        <v>759720790</v>
      </c>
      <c r="I169" s="96">
        <f t="shared" si="21"/>
        <v>1392700104.8000002</v>
      </c>
      <c r="J169" s="98">
        <f>H169+I169</f>
        <v>2152420894.8000002</v>
      </c>
      <c r="K169" s="3">
        <v>150000000</v>
      </c>
      <c r="L169" s="34" t="s">
        <v>193</v>
      </c>
      <c r="M169" s="96">
        <f>J169-O169-O170-P169-P170-Q169-Q170-R169-R170</f>
        <v>1392420894.8000002</v>
      </c>
      <c r="O169" s="3">
        <v>100000000</v>
      </c>
      <c r="S169" s="3">
        <f t="shared" si="22"/>
        <v>100000000</v>
      </c>
    </row>
    <row r="170" spans="1:19" ht="45" x14ac:dyDescent="0.25">
      <c r="B170" s="6" t="s">
        <v>123</v>
      </c>
      <c r="C170" s="100"/>
      <c r="D170" s="96"/>
      <c r="E170" s="96"/>
      <c r="F170" s="96"/>
      <c r="G170" s="96"/>
      <c r="H170" s="96"/>
      <c r="I170" s="96"/>
      <c r="J170" s="98"/>
      <c r="K170" s="3">
        <v>1191126331</v>
      </c>
      <c r="L170" s="34" t="s">
        <v>182</v>
      </c>
      <c r="M170" s="96"/>
      <c r="N170" s="3">
        <v>300000000</v>
      </c>
      <c r="O170" s="3">
        <v>290000000</v>
      </c>
      <c r="P170" s="3">
        <v>370000000</v>
      </c>
      <c r="S170" s="3">
        <f t="shared" si="22"/>
        <v>660000000</v>
      </c>
    </row>
    <row r="171" spans="1:19" hidden="1" x14ac:dyDescent="0.25">
      <c r="B171" s="6" t="s">
        <v>123</v>
      </c>
      <c r="C171" s="11"/>
      <c r="D171" s="12"/>
      <c r="E171" s="12"/>
      <c r="F171" s="12"/>
      <c r="G171" s="12"/>
      <c r="H171" s="3">
        <f t="shared" si="20"/>
        <v>0</v>
      </c>
      <c r="I171" s="3">
        <f t="shared" si="21"/>
        <v>0</v>
      </c>
      <c r="J171" s="14" t="e">
        <f>#REF!+#REF!</f>
        <v>#REF!</v>
      </c>
      <c r="K171" s="15">
        <f>K169+K170</f>
        <v>1341126331</v>
      </c>
      <c r="L171" s="36"/>
      <c r="M171" s="15" t="e">
        <f>J171-K171</f>
        <v>#REF!</v>
      </c>
      <c r="N171" s="15">
        <f>N169+N170</f>
        <v>300000000</v>
      </c>
      <c r="S171" s="3">
        <f t="shared" si="22"/>
        <v>0</v>
      </c>
    </row>
    <row r="172" spans="1:19" x14ac:dyDescent="0.25">
      <c r="A172" t="s">
        <v>141</v>
      </c>
      <c r="B172" s="6" t="s">
        <v>123</v>
      </c>
      <c r="C172" t="s">
        <v>128</v>
      </c>
      <c r="D172" s="3">
        <v>274920321</v>
      </c>
      <c r="E172" s="3">
        <v>342160880</v>
      </c>
      <c r="F172" s="3">
        <v>405576717</v>
      </c>
      <c r="G172" s="3">
        <v>951429796</v>
      </c>
      <c r="H172" s="3">
        <f t="shared" si="20"/>
        <v>617081201</v>
      </c>
      <c r="I172" s="3">
        <f t="shared" si="21"/>
        <v>1085605210.4000001</v>
      </c>
      <c r="J172" s="4">
        <f>H172+I172</f>
        <v>1702686411.4000001</v>
      </c>
      <c r="L172" s="34"/>
      <c r="M172" s="3">
        <f>J172-O172-P172-Q172-R172</f>
        <v>1702686411.4000001</v>
      </c>
      <c r="S172" s="3">
        <f t="shared" si="22"/>
        <v>0</v>
      </c>
    </row>
    <row r="173" spans="1:19" x14ac:dyDescent="0.25">
      <c r="B173" s="6" t="s">
        <v>123</v>
      </c>
      <c r="C173" s="100" t="s">
        <v>129</v>
      </c>
      <c r="D173" s="96"/>
      <c r="E173" s="96">
        <v>331653263</v>
      </c>
      <c r="F173" s="96"/>
      <c r="G173" s="96">
        <v>932701606</v>
      </c>
      <c r="H173" s="96">
        <f t="shared" si="20"/>
        <v>331653263</v>
      </c>
      <c r="I173" s="96">
        <f t="shared" si="21"/>
        <v>746161284.80000007</v>
      </c>
      <c r="J173" s="98">
        <f>H173+I173</f>
        <v>1077814547.8000002</v>
      </c>
      <c r="K173" s="3">
        <v>231653282</v>
      </c>
      <c r="L173" s="34" t="s">
        <v>193</v>
      </c>
      <c r="M173" s="96">
        <f>J173-O173-O174-P173-P174-Q173-Q174-R173-R174</f>
        <v>746161265.80000019</v>
      </c>
      <c r="O173" s="3">
        <v>231653282</v>
      </c>
      <c r="S173" s="3">
        <f t="shared" si="22"/>
        <v>231653282</v>
      </c>
    </row>
    <row r="174" spans="1:19" ht="45" x14ac:dyDescent="0.25">
      <c r="B174" s="6" t="s">
        <v>123</v>
      </c>
      <c r="C174" s="100"/>
      <c r="D174" s="96"/>
      <c r="E174" s="96"/>
      <c r="F174" s="96"/>
      <c r="G174" s="96"/>
      <c r="H174" s="96"/>
      <c r="I174" s="96"/>
      <c r="J174" s="98"/>
      <c r="K174" s="3">
        <v>120000000</v>
      </c>
      <c r="L174" s="34" t="s">
        <v>182</v>
      </c>
      <c r="M174" s="96"/>
      <c r="N174" s="3">
        <v>20000000</v>
      </c>
      <c r="P174" s="3">
        <v>100000000</v>
      </c>
      <c r="S174" s="3">
        <f t="shared" si="22"/>
        <v>100000000</v>
      </c>
    </row>
    <row r="175" spans="1:19" hidden="1" x14ac:dyDescent="0.25">
      <c r="B175" s="6" t="s">
        <v>123</v>
      </c>
      <c r="C175" s="11"/>
      <c r="D175" s="12"/>
      <c r="E175" s="12"/>
      <c r="F175" s="12"/>
      <c r="G175" s="12"/>
      <c r="H175" s="3">
        <f t="shared" si="20"/>
        <v>0</v>
      </c>
      <c r="I175" s="3">
        <f t="shared" si="21"/>
        <v>0</v>
      </c>
      <c r="J175" s="14" t="e">
        <f>#REF!+#REF!</f>
        <v>#REF!</v>
      </c>
      <c r="K175" s="15">
        <f>K173+K174</f>
        <v>351653282</v>
      </c>
      <c r="L175" s="36"/>
      <c r="M175" s="15" t="e">
        <f>J175-K175</f>
        <v>#REF!</v>
      </c>
      <c r="N175" s="15">
        <f>N173+N174</f>
        <v>20000000</v>
      </c>
      <c r="S175" s="3">
        <f t="shared" si="22"/>
        <v>0</v>
      </c>
    </row>
    <row r="176" spans="1:19" x14ac:dyDescent="0.25">
      <c r="B176" s="6" t="s">
        <v>123</v>
      </c>
      <c r="C176" t="s">
        <v>130</v>
      </c>
      <c r="E176" s="3">
        <v>360977790</v>
      </c>
      <c r="G176" s="3">
        <v>1021141239</v>
      </c>
      <c r="H176" s="3">
        <f t="shared" si="20"/>
        <v>360977790</v>
      </c>
      <c r="I176" s="3">
        <f t="shared" si="21"/>
        <v>816912991.20000005</v>
      </c>
      <c r="J176" s="4">
        <f>H176+I176</f>
        <v>1177890781.2</v>
      </c>
      <c r="K176" s="3">
        <v>360968556</v>
      </c>
      <c r="L176" s="34" t="s">
        <v>193</v>
      </c>
      <c r="M176" s="3">
        <f>J176-O176-P176-Q176-R176</f>
        <v>816922225.20000005</v>
      </c>
      <c r="P176" s="3">
        <v>360968556</v>
      </c>
      <c r="S176" s="3">
        <f t="shared" si="22"/>
        <v>360968556</v>
      </c>
    </row>
    <row r="177" spans="1:19" x14ac:dyDescent="0.25">
      <c r="A177" t="s">
        <v>141</v>
      </c>
      <c r="B177" s="6" t="s">
        <v>123</v>
      </c>
      <c r="C177" t="s">
        <v>131</v>
      </c>
      <c r="D177" s="3">
        <v>330199122</v>
      </c>
      <c r="E177" s="3">
        <v>225597644</v>
      </c>
      <c r="F177" s="3">
        <v>373749186</v>
      </c>
      <c r="G177" s="3">
        <v>633311362</v>
      </c>
      <c r="H177" s="3">
        <f t="shared" si="20"/>
        <v>555796766</v>
      </c>
      <c r="I177" s="3">
        <f t="shared" si="21"/>
        <v>805648438.4000001</v>
      </c>
      <c r="J177" s="4">
        <f>H177+I177</f>
        <v>1361445204.4000001</v>
      </c>
      <c r="L177" s="34"/>
      <c r="M177" s="3">
        <f>J177-O177-P177-Q177-R177</f>
        <v>1361445204.4000001</v>
      </c>
      <c r="S177" s="3">
        <f t="shared" si="22"/>
        <v>0</v>
      </c>
    </row>
    <row r="178" spans="1:19" ht="30" x14ac:dyDescent="0.25">
      <c r="B178" s="6" t="s">
        <v>123</v>
      </c>
      <c r="C178" t="s">
        <v>132</v>
      </c>
      <c r="D178" s="3">
        <v>131308164</v>
      </c>
      <c r="E178" s="3">
        <v>279691383</v>
      </c>
      <c r="F178" s="3">
        <v>188094185</v>
      </c>
      <c r="G178" s="3">
        <v>783111575</v>
      </c>
      <c r="H178" s="3">
        <f t="shared" si="20"/>
        <v>410999547</v>
      </c>
      <c r="I178" s="3">
        <f t="shared" si="21"/>
        <v>776964608</v>
      </c>
      <c r="J178" s="4">
        <f>H178+I178</f>
        <v>1187964155</v>
      </c>
      <c r="K178" s="3">
        <v>781984008</v>
      </c>
      <c r="L178" s="34" t="s">
        <v>179</v>
      </c>
      <c r="M178" s="3">
        <f>J178-O178-P178-Q178-R178</f>
        <v>776964608</v>
      </c>
      <c r="N178" s="3">
        <v>370984461</v>
      </c>
      <c r="O178" s="3">
        <v>131308164</v>
      </c>
      <c r="P178" s="3">
        <v>279691383</v>
      </c>
      <c r="S178" s="3">
        <f t="shared" si="22"/>
        <v>410999547</v>
      </c>
    </row>
    <row r="179" spans="1:19" x14ac:dyDescent="0.25">
      <c r="B179" s="6" t="s">
        <v>123</v>
      </c>
      <c r="C179" t="s">
        <v>133</v>
      </c>
      <c r="D179" s="96">
        <v>989630</v>
      </c>
      <c r="E179" s="96">
        <v>637301943</v>
      </c>
      <c r="F179" s="96">
        <v>2157107</v>
      </c>
      <c r="G179" s="96">
        <v>1773493165</v>
      </c>
      <c r="H179" s="96">
        <f>D179+E179</f>
        <v>638291573</v>
      </c>
      <c r="I179" s="96">
        <f>(F179+G179)*80%</f>
        <v>1420520217.6000001</v>
      </c>
      <c r="J179" s="98">
        <f>H179+I179</f>
        <v>2058811790.6000001</v>
      </c>
      <c r="K179" s="33">
        <v>663000123</v>
      </c>
      <c r="L179" s="34" t="s">
        <v>193</v>
      </c>
      <c r="M179" s="96">
        <f>J179-O179-O180-P179-P180-Q179-Q180-R179-R180</f>
        <v>821509848.60000014</v>
      </c>
      <c r="N179" s="3">
        <v>63000123</v>
      </c>
      <c r="P179" s="3">
        <v>600000000</v>
      </c>
      <c r="S179" s="3">
        <f t="shared" si="22"/>
        <v>600000000</v>
      </c>
    </row>
    <row r="180" spans="1:19" x14ac:dyDescent="0.25">
      <c r="B180" s="6" t="s">
        <v>123</v>
      </c>
      <c r="C180" t="s">
        <v>133</v>
      </c>
      <c r="D180" s="96"/>
      <c r="E180" s="96"/>
      <c r="F180" s="96"/>
      <c r="G180" s="96"/>
      <c r="H180" s="96"/>
      <c r="I180" s="96"/>
      <c r="J180" s="98"/>
      <c r="K180" s="3">
        <v>700302065.89999998</v>
      </c>
      <c r="L180" s="34" t="s">
        <v>193</v>
      </c>
      <c r="M180" s="96"/>
      <c r="P180" s="3">
        <v>637301942</v>
      </c>
      <c r="S180" s="3">
        <f t="shared" si="22"/>
        <v>637301942</v>
      </c>
    </row>
  </sheetData>
  <autoFilter ref="C2:R180"/>
  <mergeCells count="182">
    <mergeCell ref="C88:C89"/>
    <mergeCell ref="D88:D89"/>
    <mergeCell ref="E88:E89"/>
    <mergeCell ref="F88:F89"/>
    <mergeCell ref="G88:G89"/>
    <mergeCell ref="C56:C57"/>
    <mergeCell ref="D56:D57"/>
    <mergeCell ref="E56:E57"/>
    <mergeCell ref="F56:F57"/>
    <mergeCell ref="G56:G57"/>
    <mergeCell ref="D67:D68"/>
    <mergeCell ref="E67:E68"/>
    <mergeCell ref="F67:F68"/>
    <mergeCell ref="G67:G68"/>
    <mergeCell ref="C173:C174"/>
    <mergeCell ref="D173:D174"/>
    <mergeCell ref="E173:E174"/>
    <mergeCell ref="F173:F174"/>
    <mergeCell ref="G173:G174"/>
    <mergeCell ref="D164:D165"/>
    <mergeCell ref="E164:E165"/>
    <mergeCell ref="F164:F165"/>
    <mergeCell ref="G164:G165"/>
    <mergeCell ref="C23:C28"/>
    <mergeCell ref="D23:D28"/>
    <mergeCell ref="E23:E28"/>
    <mergeCell ref="F23:F28"/>
    <mergeCell ref="G23:G28"/>
    <mergeCell ref="C50:C52"/>
    <mergeCell ref="D50:D52"/>
    <mergeCell ref="E50:E52"/>
    <mergeCell ref="F50:F52"/>
    <mergeCell ref="G50:G52"/>
    <mergeCell ref="D44:D45"/>
    <mergeCell ref="E44:E45"/>
    <mergeCell ref="F44:F45"/>
    <mergeCell ref="G44:G45"/>
    <mergeCell ref="C44:C45"/>
    <mergeCell ref="C36:C38"/>
    <mergeCell ref="A136:A137"/>
    <mergeCell ref="C169:C170"/>
    <mergeCell ref="D169:D170"/>
    <mergeCell ref="E169:E170"/>
    <mergeCell ref="F169:F170"/>
    <mergeCell ref="G169:G170"/>
    <mergeCell ref="C164:C165"/>
    <mergeCell ref="C136:C137"/>
    <mergeCell ref="D136:D137"/>
    <mergeCell ref="E136:E137"/>
    <mergeCell ref="F136:F137"/>
    <mergeCell ref="G136:G137"/>
    <mergeCell ref="C152:C154"/>
    <mergeCell ref="D152:D154"/>
    <mergeCell ref="E152:E154"/>
    <mergeCell ref="F152:F154"/>
    <mergeCell ref="C159:C160"/>
    <mergeCell ref="E159:E160"/>
    <mergeCell ref="G159:G160"/>
    <mergeCell ref="F159:F160"/>
    <mergeCell ref="D159:D160"/>
    <mergeCell ref="C102:C103"/>
    <mergeCell ref="D102:D103"/>
    <mergeCell ref="E102:E103"/>
    <mergeCell ref="F102:F103"/>
    <mergeCell ref="G102:G103"/>
    <mergeCell ref="C67:C68"/>
    <mergeCell ref="G152:G154"/>
    <mergeCell ref="C110:C112"/>
    <mergeCell ref="D110:D112"/>
    <mergeCell ref="E110:E112"/>
    <mergeCell ref="F110:F112"/>
    <mergeCell ref="C98:C100"/>
    <mergeCell ref="D98:D100"/>
    <mergeCell ref="E98:E100"/>
    <mergeCell ref="F98:F100"/>
    <mergeCell ref="C123:C125"/>
    <mergeCell ref="D123:D125"/>
    <mergeCell ref="E123:E125"/>
    <mergeCell ref="F123:F125"/>
    <mergeCell ref="G123:G125"/>
    <mergeCell ref="C128:C130"/>
    <mergeCell ref="D128:D130"/>
    <mergeCell ref="E128:E130"/>
    <mergeCell ref="F128:F130"/>
    <mergeCell ref="J169:J170"/>
    <mergeCell ref="J173:J174"/>
    <mergeCell ref="J56:J57"/>
    <mergeCell ref="D1:E1"/>
    <mergeCell ref="F1:G1"/>
    <mergeCell ref="G110:G112"/>
    <mergeCell ref="J23:J28"/>
    <mergeCell ref="J50:J52"/>
    <mergeCell ref="J67:J68"/>
    <mergeCell ref="J88:J89"/>
    <mergeCell ref="E12:E13"/>
    <mergeCell ref="H44:H45"/>
    <mergeCell ref="I44:I45"/>
    <mergeCell ref="H50:H52"/>
    <mergeCell ref="I50:I52"/>
    <mergeCell ref="G98:G100"/>
    <mergeCell ref="H98:H100"/>
    <mergeCell ref="I98:I100"/>
    <mergeCell ref="H102:H103"/>
    <mergeCell ref="I102:I103"/>
    <mergeCell ref="H110:H112"/>
    <mergeCell ref="H88:H89"/>
    <mergeCell ref="I88:I89"/>
    <mergeCell ref="H56:H57"/>
    <mergeCell ref="M152:M154"/>
    <mergeCell ref="M159:M160"/>
    <mergeCell ref="M164:M165"/>
    <mergeCell ref="J164:J165"/>
    <mergeCell ref="J98:J100"/>
    <mergeCell ref="J102:J103"/>
    <mergeCell ref="J110:J112"/>
    <mergeCell ref="J123:J125"/>
    <mergeCell ref="J159:J160"/>
    <mergeCell ref="M169:M170"/>
    <mergeCell ref="M173:M174"/>
    <mergeCell ref="M12:M13"/>
    <mergeCell ref="J44:J45"/>
    <mergeCell ref="M44:M45"/>
    <mergeCell ref="J36:J38"/>
    <mergeCell ref="M36:M38"/>
    <mergeCell ref="J179:J180"/>
    <mergeCell ref="M179:M180"/>
    <mergeCell ref="J12:J13"/>
    <mergeCell ref="M23:M28"/>
    <mergeCell ref="M50:M52"/>
    <mergeCell ref="M56:M57"/>
    <mergeCell ref="M67:M68"/>
    <mergeCell ref="M88:M89"/>
    <mergeCell ref="M98:M100"/>
    <mergeCell ref="M102:M103"/>
    <mergeCell ref="M110:M112"/>
    <mergeCell ref="M123:M125"/>
    <mergeCell ref="M128:M130"/>
    <mergeCell ref="J128:J130"/>
    <mergeCell ref="M136:M137"/>
    <mergeCell ref="J136:J137"/>
    <mergeCell ref="J152:J154"/>
    <mergeCell ref="H152:H154"/>
    <mergeCell ref="I152:I154"/>
    <mergeCell ref="D12:D13"/>
    <mergeCell ref="F12:F13"/>
    <mergeCell ref="G12:G13"/>
    <mergeCell ref="H12:H13"/>
    <mergeCell ref="I12:I13"/>
    <mergeCell ref="I36:I38"/>
    <mergeCell ref="H36:H38"/>
    <mergeCell ref="G36:G38"/>
    <mergeCell ref="F36:F38"/>
    <mergeCell ref="E36:E38"/>
    <mergeCell ref="D36:D38"/>
    <mergeCell ref="H23:H28"/>
    <mergeCell ref="I23:I28"/>
    <mergeCell ref="I56:I57"/>
    <mergeCell ref="G128:G130"/>
    <mergeCell ref="C12:C13"/>
    <mergeCell ref="D179:D180"/>
    <mergeCell ref="E179:E180"/>
    <mergeCell ref="F179:F180"/>
    <mergeCell ref="G179:G180"/>
    <mergeCell ref="H179:H180"/>
    <mergeCell ref="I179:I180"/>
    <mergeCell ref="H159:H160"/>
    <mergeCell ref="I159:I160"/>
    <mergeCell ref="H164:H165"/>
    <mergeCell ref="I164:I165"/>
    <mergeCell ref="H169:H170"/>
    <mergeCell ref="I169:I170"/>
    <mergeCell ref="H173:H174"/>
    <mergeCell ref="I173:I174"/>
    <mergeCell ref="H67:H68"/>
    <mergeCell ref="I67:I68"/>
    <mergeCell ref="I110:I112"/>
    <mergeCell ref="H123:H125"/>
    <mergeCell ref="I123:I125"/>
    <mergeCell ref="H128:H130"/>
    <mergeCell ref="I128:I130"/>
    <mergeCell ref="H136:H137"/>
    <mergeCell ref="I136:I137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6"/>
  <sheetViews>
    <sheetView tabSelected="1" zoomScale="70" zoomScaleNormal="70" workbookViewId="0">
      <pane ySplit="3" topLeftCell="A4" activePane="bottomLeft" state="frozen"/>
      <selection pane="bottomLeft" activeCell="L58" sqref="L58"/>
    </sheetView>
  </sheetViews>
  <sheetFormatPr baseColWidth="10" defaultRowHeight="15" x14ac:dyDescent="0.25"/>
  <cols>
    <col min="1" max="1" width="21.5703125" customWidth="1"/>
    <col min="2" max="2" width="20.140625" customWidth="1"/>
    <col min="3" max="3" width="17.85546875" customWidth="1"/>
    <col min="4" max="4" width="23.5703125" hidden="1" customWidth="1"/>
    <col min="5" max="5" width="20" hidden="1" customWidth="1"/>
    <col min="6" max="7" width="23.5703125" hidden="1" customWidth="1"/>
    <col min="8" max="9" width="18.42578125" customWidth="1"/>
    <col min="10" max="10" width="18" customWidth="1"/>
    <col min="11" max="11" width="18.42578125" customWidth="1"/>
    <col min="12" max="12" width="18.28515625" customWidth="1"/>
    <col min="13" max="14" width="18.140625" customWidth="1"/>
    <col min="15" max="15" width="18.7109375" customWidth="1"/>
    <col min="16" max="16" width="16.42578125" customWidth="1"/>
    <col min="18" max="18" width="17.85546875" bestFit="1" customWidth="1"/>
  </cols>
  <sheetData>
    <row r="1" spans="1:15" ht="37.5" customHeight="1" thickBot="1" x14ac:dyDescent="0.3">
      <c r="B1" s="103" t="s">
        <v>197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5"/>
    </row>
    <row r="2" spans="1:15" ht="30" customHeight="1" x14ac:dyDescent="0.25">
      <c r="A2" s="106" t="s">
        <v>167</v>
      </c>
      <c r="B2" s="108" t="s">
        <v>166</v>
      </c>
      <c r="C2" s="110">
        <v>2012</v>
      </c>
      <c r="D2" s="110"/>
      <c r="E2" s="110" t="s">
        <v>8</v>
      </c>
      <c r="F2" s="110"/>
      <c r="G2" s="113" t="s">
        <v>253</v>
      </c>
      <c r="H2" s="115" t="s">
        <v>254</v>
      </c>
      <c r="I2" s="116"/>
      <c r="J2" s="111" t="s">
        <v>178</v>
      </c>
      <c r="K2" s="111" t="s">
        <v>169</v>
      </c>
      <c r="L2" s="111" t="s">
        <v>165</v>
      </c>
      <c r="M2" s="111" t="s">
        <v>170</v>
      </c>
      <c r="N2" s="111" t="s">
        <v>168</v>
      </c>
      <c r="O2" s="101" t="s">
        <v>227</v>
      </c>
    </row>
    <row r="3" spans="1:15" ht="47.25" customHeight="1" thickBot="1" x14ac:dyDescent="0.3">
      <c r="A3" s="107"/>
      <c r="B3" s="109"/>
      <c r="C3" s="27" t="s">
        <v>162</v>
      </c>
      <c r="D3" s="27" t="s">
        <v>163</v>
      </c>
      <c r="E3" s="27" t="s">
        <v>162</v>
      </c>
      <c r="F3" s="27" t="s">
        <v>163</v>
      </c>
      <c r="G3" s="114"/>
      <c r="H3" s="84" t="s">
        <v>256</v>
      </c>
      <c r="I3" s="84" t="s">
        <v>255</v>
      </c>
      <c r="J3" s="112"/>
      <c r="K3" s="112"/>
      <c r="L3" s="112"/>
      <c r="M3" s="112"/>
      <c r="N3" s="112"/>
      <c r="O3" s="102"/>
    </row>
    <row r="4" spans="1:15" x14ac:dyDescent="0.25">
      <c r="A4" s="28" t="s">
        <v>0</v>
      </c>
      <c r="B4" s="31" t="s">
        <v>149</v>
      </c>
      <c r="C4" s="21">
        <v>0</v>
      </c>
      <c r="D4" s="21">
        <v>716402321.22422945</v>
      </c>
      <c r="E4" s="21">
        <v>0</v>
      </c>
      <c r="F4" s="21">
        <v>2021075398.2604146</v>
      </c>
      <c r="G4" s="21">
        <v>0</v>
      </c>
      <c r="H4" s="22">
        <v>0</v>
      </c>
      <c r="I4" s="22">
        <v>404215079.60000002</v>
      </c>
      <c r="J4" s="22">
        <f t="shared" ref="J4:J35" si="0">(E4+F4)*80%</f>
        <v>1616860318.6083317</v>
      </c>
      <c r="K4" s="22">
        <f>860000000</f>
        <v>860000000</v>
      </c>
      <c r="L4" s="22">
        <f>1467235359+1010000000</f>
        <v>2477235359</v>
      </c>
      <c r="M4" s="22">
        <f t="shared" ref="M4:M35" si="1">L4-K4</f>
        <v>1617235359</v>
      </c>
      <c r="N4" s="22">
        <f t="shared" ref="N4:N35" si="2">C4+D4+H4+I4+J4</f>
        <v>2737477719.4325609</v>
      </c>
      <c r="O4" s="23">
        <f t="shared" ref="O4:O35" si="3">N4-M4</f>
        <v>1120242360.4325609</v>
      </c>
    </row>
    <row r="5" spans="1:15" x14ac:dyDescent="0.25">
      <c r="A5" s="29" t="s">
        <v>0</v>
      </c>
      <c r="B5" s="31" t="s">
        <v>2</v>
      </c>
      <c r="C5" s="21">
        <v>2052833.0035557707</v>
      </c>
      <c r="D5" s="21">
        <v>197959718.33486614</v>
      </c>
      <c r="E5" s="21">
        <v>2979855.0789667908</v>
      </c>
      <c r="F5" s="21">
        <v>530729864.82822531</v>
      </c>
      <c r="G5" s="21">
        <v>1930885</v>
      </c>
      <c r="H5" s="22">
        <v>0</v>
      </c>
      <c r="I5" s="22">
        <v>106145972.80000001</v>
      </c>
      <c r="J5" s="22">
        <f t="shared" si="0"/>
        <v>426967775.92575371</v>
      </c>
      <c r="K5" s="22">
        <f>860000000+141132756</f>
        <v>1001132756</v>
      </c>
      <c r="L5" s="22">
        <f>1010000000+161132756</f>
        <v>1171132756</v>
      </c>
      <c r="M5" s="22">
        <f t="shared" si="1"/>
        <v>170000000</v>
      </c>
      <c r="N5" s="22">
        <f t="shared" si="2"/>
        <v>733126300.06417561</v>
      </c>
      <c r="O5" s="23">
        <f t="shared" si="3"/>
        <v>563126300.06417561</v>
      </c>
    </row>
    <row r="6" spans="1:15" x14ac:dyDescent="0.25">
      <c r="A6" s="29" t="s">
        <v>0</v>
      </c>
      <c r="B6" s="31" t="s">
        <v>152</v>
      </c>
      <c r="C6" s="21">
        <v>0</v>
      </c>
      <c r="D6" s="21">
        <v>143158002.30959389</v>
      </c>
      <c r="E6" s="21">
        <v>0</v>
      </c>
      <c r="F6" s="21">
        <v>389780352.77472568</v>
      </c>
      <c r="G6" s="21">
        <v>0</v>
      </c>
      <c r="H6" s="22">
        <v>0</v>
      </c>
      <c r="I6" s="22">
        <v>77956070.400000006</v>
      </c>
      <c r="J6" s="22">
        <f t="shared" si="0"/>
        <v>311824282.21978056</v>
      </c>
      <c r="K6" s="22">
        <v>842800000</v>
      </c>
      <c r="L6" s="22">
        <f>299153596+989800000</f>
        <v>1288953596</v>
      </c>
      <c r="M6" s="22">
        <f t="shared" si="1"/>
        <v>446153596</v>
      </c>
      <c r="N6" s="22">
        <f t="shared" si="2"/>
        <v>532938354.92937446</v>
      </c>
      <c r="O6" s="23">
        <f t="shared" si="3"/>
        <v>86784758.929374456</v>
      </c>
    </row>
    <row r="7" spans="1:15" x14ac:dyDescent="0.25">
      <c r="A7" s="29" t="s">
        <v>0</v>
      </c>
      <c r="B7" s="31" t="s">
        <v>155</v>
      </c>
      <c r="C7" s="21">
        <v>238688163.15229252</v>
      </c>
      <c r="D7" s="21">
        <v>298055409.43232858</v>
      </c>
      <c r="E7" s="21">
        <v>312116473.99580336</v>
      </c>
      <c r="F7" s="21">
        <v>851680396.71865761</v>
      </c>
      <c r="G7" s="21">
        <v>0</v>
      </c>
      <c r="H7" s="22">
        <v>62423294.600000016</v>
      </c>
      <c r="I7" s="22">
        <v>170336079.20000002</v>
      </c>
      <c r="J7" s="22">
        <f t="shared" si="0"/>
        <v>931037496.57156873</v>
      </c>
      <c r="K7" s="22">
        <f>3870000000</f>
        <v>3870000000</v>
      </c>
      <c r="L7" s="22">
        <f>388556521+316000000+4191000000</f>
        <v>4895556521</v>
      </c>
      <c r="M7" s="22">
        <f t="shared" si="1"/>
        <v>1025556521</v>
      </c>
      <c r="N7" s="22">
        <f t="shared" si="2"/>
        <v>1700540442.9561899</v>
      </c>
      <c r="O7" s="23">
        <f t="shared" si="3"/>
        <v>674983921.95618987</v>
      </c>
    </row>
    <row r="8" spans="1:15" x14ac:dyDescent="0.25">
      <c r="A8" s="29" t="s">
        <v>0</v>
      </c>
      <c r="B8" s="31" t="s">
        <v>156</v>
      </c>
      <c r="C8" s="21">
        <v>33026136.748452008</v>
      </c>
      <c r="D8" s="21">
        <v>401887146.67411751</v>
      </c>
      <c r="E8" s="21">
        <v>29669804.431037236</v>
      </c>
      <c r="F8" s="21">
        <v>1132675806.7401607</v>
      </c>
      <c r="G8" s="21">
        <v>21872300</v>
      </c>
      <c r="H8" s="22">
        <v>0</v>
      </c>
      <c r="I8" s="22">
        <v>226535161.20000005</v>
      </c>
      <c r="J8" s="22">
        <f t="shared" si="0"/>
        <v>929876488.93695831</v>
      </c>
      <c r="K8" s="22">
        <f>3121000000</f>
        <v>3121000000</v>
      </c>
      <c r="L8" s="22">
        <f>4191000000</f>
        <v>4191000000</v>
      </c>
      <c r="M8" s="22">
        <f t="shared" si="1"/>
        <v>1070000000</v>
      </c>
      <c r="N8" s="22">
        <f t="shared" si="2"/>
        <v>1591324933.5595279</v>
      </c>
      <c r="O8" s="23">
        <f t="shared" si="3"/>
        <v>521324933.55952787</v>
      </c>
    </row>
    <row r="9" spans="1:15" x14ac:dyDescent="0.25">
      <c r="A9" s="29" t="s">
        <v>0</v>
      </c>
      <c r="B9" s="31" t="s">
        <v>6</v>
      </c>
      <c r="C9" s="21">
        <v>0</v>
      </c>
      <c r="D9" s="21">
        <v>167133879.36515903</v>
      </c>
      <c r="E9" s="21">
        <v>0</v>
      </c>
      <c r="F9" s="21">
        <v>461214624.64303488</v>
      </c>
      <c r="G9" s="21">
        <v>0</v>
      </c>
      <c r="H9" s="22">
        <v>0</v>
      </c>
      <c r="I9" s="22">
        <v>92242924.800000012</v>
      </c>
      <c r="J9" s="22">
        <f t="shared" si="0"/>
        <v>368971699.71442795</v>
      </c>
      <c r="K9" s="22">
        <f>972000000+113810606</f>
        <v>1085810606</v>
      </c>
      <c r="L9" s="22">
        <f>156389427+1212000000+161132756</f>
        <v>1529522183</v>
      </c>
      <c r="M9" s="22">
        <f t="shared" si="1"/>
        <v>443711577</v>
      </c>
      <c r="N9" s="22">
        <f t="shared" si="2"/>
        <v>628348503.87958694</v>
      </c>
      <c r="O9" s="23">
        <f t="shared" si="3"/>
        <v>184636926.87958694</v>
      </c>
    </row>
    <row r="10" spans="1:15" x14ac:dyDescent="0.25">
      <c r="A10" s="29" t="s">
        <v>0</v>
      </c>
      <c r="B10" s="31" t="s">
        <v>161</v>
      </c>
      <c r="C10" s="21">
        <v>4542321.5726660592</v>
      </c>
      <c r="D10" s="21">
        <v>452797141.75054753</v>
      </c>
      <c r="E10" s="21">
        <v>3614289.7080544443</v>
      </c>
      <c r="F10" s="21">
        <v>1272992618.5618474</v>
      </c>
      <c r="G10" s="21">
        <v>3967614</v>
      </c>
      <c r="H10" s="22">
        <v>0</v>
      </c>
      <c r="I10" s="22">
        <v>254598523.40000001</v>
      </c>
      <c r="J10" s="22">
        <f t="shared" si="0"/>
        <v>1021285526.6159216</v>
      </c>
      <c r="K10" s="22">
        <f>324000000+113810606</f>
        <v>437810606</v>
      </c>
      <c r="L10" s="22">
        <f>658470064+404000000+161132756</f>
        <v>1223602820</v>
      </c>
      <c r="M10" s="22">
        <f t="shared" si="1"/>
        <v>785792214</v>
      </c>
      <c r="N10" s="22">
        <f t="shared" si="2"/>
        <v>1733223513.3391352</v>
      </c>
      <c r="O10" s="23">
        <f t="shared" si="3"/>
        <v>947431299.33913517</v>
      </c>
    </row>
    <row r="11" spans="1:15" x14ac:dyDescent="0.25">
      <c r="A11" s="29" t="s">
        <v>11</v>
      </c>
      <c r="B11" s="31" t="s">
        <v>12</v>
      </c>
      <c r="C11" s="21">
        <v>0</v>
      </c>
      <c r="D11" s="21">
        <v>304752333.27996975</v>
      </c>
      <c r="E11" s="21">
        <v>0</v>
      </c>
      <c r="F11" s="21">
        <v>837606521.84398103</v>
      </c>
      <c r="G11" s="21">
        <v>0</v>
      </c>
      <c r="H11" s="22">
        <v>0</v>
      </c>
      <c r="I11" s="22">
        <v>167521304</v>
      </c>
      <c r="J11" s="22">
        <f t="shared" si="0"/>
        <v>670085217.47518492</v>
      </c>
      <c r="K11" s="22">
        <f>1159534880+300000000+139580000</f>
        <v>1599114880</v>
      </c>
      <c r="L11" s="22">
        <f>1222034880+130000000+464204687+199400000</f>
        <v>2015639567</v>
      </c>
      <c r="M11" s="22">
        <f t="shared" si="1"/>
        <v>416524687</v>
      </c>
      <c r="N11" s="22">
        <f t="shared" si="2"/>
        <v>1142358854.7551546</v>
      </c>
      <c r="O11" s="23">
        <f t="shared" si="3"/>
        <v>725834167.75515461</v>
      </c>
    </row>
    <row r="12" spans="1:15" x14ac:dyDescent="0.25">
      <c r="A12" s="29" t="s">
        <v>11</v>
      </c>
      <c r="B12" s="31" t="s">
        <v>13</v>
      </c>
      <c r="C12" s="21">
        <v>145887.4095375</v>
      </c>
      <c r="D12" s="21">
        <v>0</v>
      </c>
      <c r="E12" s="21">
        <v>0</v>
      </c>
      <c r="F12" s="21">
        <v>0</v>
      </c>
      <c r="G12" s="21">
        <v>61334</v>
      </c>
      <c r="H12" s="22">
        <v>0</v>
      </c>
      <c r="I12" s="22">
        <v>0</v>
      </c>
      <c r="J12" s="22">
        <f t="shared" si="0"/>
        <v>0</v>
      </c>
      <c r="K12" s="22">
        <v>0</v>
      </c>
      <c r="L12" s="22">
        <v>0</v>
      </c>
      <c r="M12" s="22">
        <f t="shared" si="1"/>
        <v>0</v>
      </c>
      <c r="N12" s="22">
        <f t="shared" si="2"/>
        <v>145887.4095375</v>
      </c>
      <c r="O12" s="23">
        <f t="shared" si="3"/>
        <v>145887.4095375</v>
      </c>
    </row>
    <row r="13" spans="1:15" x14ac:dyDescent="0.25">
      <c r="A13" s="29" t="s">
        <v>11</v>
      </c>
      <c r="B13" s="31" t="s">
        <v>14</v>
      </c>
      <c r="C13" s="21">
        <v>0</v>
      </c>
      <c r="D13" s="21">
        <v>78957332.753730237</v>
      </c>
      <c r="E13" s="21">
        <v>0</v>
      </c>
      <c r="F13" s="21">
        <v>216349371.7743772</v>
      </c>
      <c r="G13" s="21">
        <v>0</v>
      </c>
      <c r="H13" s="22">
        <v>0</v>
      </c>
      <c r="I13" s="22">
        <v>43269874.20000001</v>
      </c>
      <c r="J13" s="22">
        <f t="shared" si="0"/>
        <v>173079497.41950178</v>
      </c>
      <c r="K13" s="22">
        <v>0</v>
      </c>
      <c r="L13" s="22">
        <v>0</v>
      </c>
      <c r="M13" s="22">
        <f t="shared" si="1"/>
        <v>0</v>
      </c>
      <c r="N13" s="22">
        <f t="shared" si="2"/>
        <v>295306704.37323201</v>
      </c>
      <c r="O13" s="23">
        <f t="shared" si="3"/>
        <v>295306704.37323201</v>
      </c>
    </row>
    <row r="14" spans="1:15" x14ac:dyDescent="0.25">
      <c r="A14" s="29" t="s">
        <v>11</v>
      </c>
      <c r="B14" s="31" t="s">
        <v>15</v>
      </c>
      <c r="C14" s="21">
        <v>4271829.9721073592</v>
      </c>
      <c r="D14" s="21">
        <v>82325035.973160371</v>
      </c>
      <c r="E14" s="21">
        <v>2766015.8243402662</v>
      </c>
      <c r="F14" s="21">
        <v>216349371.7743772</v>
      </c>
      <c r="G14" s="21">
        <v>1208667</v>
      </c>
      <c r="H14" s="22">
        <v>0</v>
      </c>
      <c r="I14" s="22">
        <v>44623249.800000004</v>
      </c>
      <c r="J14" s="22">
        <f t="shared" si="0"/>
        <v>175292310.07897398</v>
      </c>
      <c r="K14" s="22">
        <v>1032332000</v>
      </c>
      <c r="L14" s="22">
        <f>85965637+1212000000</f>
        <v>1297965637</v>
      </c>
      <c r="M14" s="22">
        <f t="shared" si="1"/>
        <v>265633637</v>
      </c>
      <c r="N14" s="22">
        <f t="shared" si="2"/>
        <v>306512425.82424176</v>
      </c>
      <c r="O14" s="23">
        <f t="shared" si="3"/>
        <v>40878788.824241757</v>
      </c>
    </row>
    <row r="15" spans="1:15" x14ac:dyDescent="0.25">
      <c r="A15" s="29" t="s">
        <v>11</v>
      </c>
      <c r="B15" s="31" t="s">
        <v>16</v>
      </c>
      <c r="C15" s="21">
        <v>0</v>
      </c>
      <c r="D15" s="21">
        <v>66221291.487521723</v>
      </c>
      <c r="E15" s="21">
        <v>0</v>
      </c>
      <c r="F15" s="21">
        <v>181361886.42682585</v>
      </c>
      <c r="G15" s="21">
        <v>0</v>
      </c>
      <c r="H15" s="22">
        <v>0</v>
      </c>
      <c r="I15" s="22">
        <v>36272377.200000003</v>
      </c>
      <c r="J15" s="22">
        <f t="shared" si="0"/>
        <v>145089509.14146069</v>
      </c>
      <c r="K15" s="22">
        <v>0</v>
      </c>
      <c r="L15" s="22">
        <v>0</v>
      </c>
      <c r="M15" s="22">
        <f t="shared" si="1"/>
        <v>0</v>
      </c>
      <c r="N15" s="22">
        <f t="shared" si="2"/>
        <v>247583177.82898241</v>
      </c>
      <c r="O15" s="23">
        <f t="shared" si="3"/>
        <v>247583177.82898241</v>
      </c>
    </row>
    <row r="16" spans="1:15" x14ac:dyDescent="0.25">
      <c r="A16" s="29" t="s">
        <v>11</v>
      </c>
      <c r="B16" s="31" t="s">
        <v>17</v>
      </c>
      <c r="C16" s="21">
        <v>16395.506883203852</v>
      </c>
      <c r="D16" s="21">
        <v>414944551.96555352</v>
      </c>
      <c r="E16" s="21">
        <v>22692.143036317797</v>
      </c>
      <c r="F16" s="21">
        <v>1175743996.6070304</v>
      </c>
      <c r="G16" s="21">
        <v>0</v>
      </c>
      <c r="H16" s="22">
        <v>4538.2000000000007</v>
      </c>
      <c r="I16" s="22">
        <v>235148799.20000005</v>
      </c>
      <c r="J16" s="22">
        <f t="shared" si="0"/>
        <v>940613351.00005341</v>
      </c>
      <c r="K16" s="22">
        <v>0</v>
      </c>
      <c r="L16" s="22">
        <v>414944552</v>
      </c>
      <c r="M16" s="22">
        <f t="shared" si="1"/>
        <v>414944552</v>
      </c>
      <c r="N16" s="22">
        <f t="shared" si="2"/>
        <v>1590727635.8724902</v>
      </c>
      <c r="O16" s="23">
        <f t="shared" si="3"/>
        <v>1175783083.8724902</v>
      </c>
    </row>
    <row r="17" spans="1:18" x14ac:dyDescent="0.25">
      <c r="A17" s="29" t="s">
        <v>11</v>
      </c>
      <c r="B17" s="31" t="s">
        <v>18</v>
      </c>
      <c r="C17" s="21">
        <v>0</v>
      </c>
      <c r="D17" s="21">
        <v>276886435.60478336</v>
      </c>
      <c r="E17" s="21">
        <v>0</v>
      </c>
      <c r="F17" s="21">
        <v>768140995.58360016</v>
      </c>
      <c r="G17" s="21">
        <v>0</v>
      </c>
      <c r="H17" s="22">
        <v>0</v>
      </c>
      <c r="I17" s="22">
        <v>153628199</v>
      </c>
      <c r="J17" s="22">
        <f t="shared" si="0"/>
        <v>614512796.4668802</v>
      </c>
      <c r="K17" s="22">
        <f>112950685+1032000000</f>
        <v>1144950685</v>
      </c>
      <c r="L17" s="22">
        <f>389837120+1212000000+389788117</f>
        <v>1991625237</v>
      </c>
      <c r="M17" s="22">
        <f t="shared" si="1"/>
        <v>846674552</v>
      </c>
      <c r="N17" s="22">
        <f t="shared" si="2"/>
        <v>1045027431.0716636</v>
      </c>
      <c r="O17" s="23">
        <f t="shared" si="3"/>
        <v>198352879.07166362</v>
      </c>
    </row>
    <row r="18" spans="1:18" x14ac:dyDescent="0.25">
      <c r="A18" s="29" t="s">
        <v>11</v>
      </c>
      <c r="B18" s="31" t="s">
        <v>19</v>
      </c>
      <c r="C18" s="21">
        <v>0</v>
      </c>
      <c r="D18" s="21">
        <v>492253613.29629487</v>
      </c>
      <c r="E18" s="21">
        <v>0</v>
      </c>
      <c r="F18" s="21">
        <v>1370840806.3975556</v>
      </c>
      <c r="G18" s="21">
        <v>0</v>
      </c>
      <c r="H18" s="22">
        <v>0</v>
      </c>
      <c r="I18" s="22">
        <v>274168161</v>
      </c>
      <c r="J18" s="22">
        <f t="shared" si="0"/>
        <v>1096672645.1180446</v>
      </c>
      <c r="K18" s="22">
        <f>860000000+113810606</f>
        <v>973810606</v>
      </c>
      <c r="L18" s="22">
        <f>1010000000+161132756+176000000</f>
        <v>1347132756</v>
      </c>
      <c r="M18" s="22">
        <f t="shared" si="1"/>
        <v>373322150</v>
      </c>
      <c r="N18" s="22">
        <f t="shared" si="2"/>
        <v>1863094419.4143395</v>
      </c>
      <c r="O18" s="23">
        <f t="shared" si="3"/>
        <v>1489772269.4143395</v>
      </c>
    </row>
    <row r="19" spans="1:18" x14ac:dyDescent="0.25">
      <c r="A19" s="29" t="s">
        <v>21</v>
      </c>
      <c r="B19" s="31" t="s">
        <v>22</v>
      </c>
      <c r="C19" s="21">
        <v>3394626.0917727277</v>
      </c>
      <c r="D19" s="21">
        <v>509319188.71308887</v>
      </c>
      <c r="E19" s="21">
        <v>3226367.9436036847</v>
      </c>
      <c r="F19" s="21">
        <v>1384507936.035511</v>
      </c>
      <c r="G19" s="21">
        <v>0</v>
      </c>
      <c r="H19" s="22">
        <v>645273.39999999991</v>
      </c>
      <c r="I19" s="22">
        <v>276901587</v>
      </c>
      <c r="J19" s="22">
        <f t="shared" si="0"/>
        <v>1110187443.1832919</v>
      </c>
      <c r="K19" s="22">
        <f>169279283</f>
        <v>169279283</v>
      </c>
      <c r="L19" s="22">
        <f>553365686+189279283</f>
        <v>742644969</v>
      </c>
      <c r="M19" s="22">
        <f t="shared" si="1"/>
        <v>573365686</v>
      </c>
      <c r="N19" s="22">
        <f t="shared" si="2"/>
        <v>1900448118.3881536</v>
      </c>
      <c r="O19" s="23">
        <f t="shared" si="3"/>
        <v>1327082432.3881536</v>
      </c>
    </row>
    <row r="20" spans="1:18" x14ac:dyDescent="0.25">
      <c r="A20" s="29" t="s">
        <v>21</v>
      </c>
      <c r="B20" s="31" t="s">
        <v>23</v>
      </c>
      <c r="C20" s="21">
        <v>1236841011.6393452</v>
      </c>
      <c r="D20" s="21">
        <v>712900648.77325296</v>
      </c>
      <c r="E20" s="21">
        <v>812956915.78994548</v>
      </c>
      <c r="F20" s="21">
        <v>2006775270.2889977</v>
      </c>
      <c r="G20" s="21">
        <v>652894936</v>
      </c>
      <c r="H20" s="22">
        <v>162591383</v>
      </c>
      <c r="I20" s="22">
        <v>401355054</v>
      </c>
      <c r="J20" s="22">
        <f t="shared" si="0"/>
        <v>2255785748.8631549</v>
      </c>
      <c r="K20" s="22">
        <v>0</v>
      </c>
      <c r="L20" s="22">
        <f>489411945+80000000+70000000+658162798+50000000+360000000+73599934</f>
        <v>1781174677</v>
      </c>
      <c r="M20" s="22">
        <f t="shared" si="1"/>
        <v>1781174677</v>
      </c>
      <c r="N20" s="22">
        <f t="shared" si="2"/>
        <v>4769473846.275753</v>
      </c>
      <c r="O20" s="23">
        <f t="shared" si="3"/>
        <v>2988299169.275753</v>
      </c>
    </row>
    <row r="21" spans="1:18" x14ac:dyDescent="0.25">
      <c r="A21" s="29" t="s">
        <v>21</v>
      </c>
      <c r="B21" s="31" t="s">
        <v>24</v>
      </c>
      <c r="C21" s="21">
        <v>72344720.090429515</v>
      </c>
      <c r="D21" s="21">
        <v>459846363.38417053</v>
      </c>
      <c r="E21" s="21">
        <v>15007693.348147342</v>
      </c>
      <c r="F21" s="21">
        <v>1293621820.5587628</v>
      </c>
      <c r="G21" s="21">
        <v>46520380</v>
      </c>
      <c r="H21" s="22">
        <v>3001538.4</v>
      </c>
      <c r="I21" s="22">
        <v>258724363.99999997</v>
      </c>
      <c r="J21" s="22">
        <f t="shared" si="0"/>
        <v>1046903611.1255282</v>
      </c>
      <c r="K21" s="22">
        <f>176031174</f>
        <v>176031174</v>
      </c>
      <c r="L21" s="22">
        <f>206031174</f>
        <v>206031174</v>
      </c>
      <c r="M21" s="22">
        <f t="shared" si="1"/>
        <v>30000000</v>
      </c>
      <c r="N21" s="22">
        <f t="shared" si="2"/>
        <v>1840820597.0001283</v>
      </c>
      <c r="O21" s="23">
        <f t="shared" si="3"/>
        <v>1810820597.0001283</v>
      </c>
      <c r="R21" s="18"/>
    </row>
    <row r="22" spans="1:18" x14ac:dyDescent="0.25">
      <c r="A22" s="29" t="s">
        <v>25</v>
      </c>
      <c r="B22" s="31" t="s">
        <v>26</v>
      </c>
      <c r="C22" s="21">
        <v>0</v>
      </c>
      <c r="D22" s="21">
        <v>227183585.8893567</v>
      </c>
      <c r="E22" s="21">
        <v>0</v>
      </c>
      <c r="F22" s="21">
        <v>628910510.71827412</v>
      </c>
      <c r="G22" s="21">
        <v>0</v>
      </c>
      <c r="H22" s="22">
        <v>0</v>
      </c>
      <c r="I22" s="22">
        <v>125782101.99999999</v>
      </c>
      <c r="J22" s="22">
        <f t="shared" si="0"/>
        <v>503128408.57461929</v>
      </c>
      <c r="K22" s="22">
        <f>972000000+176031174</f>
        <v>1148031174</v>
      </c>
      <c r="L22" s="22">
        <f>1212000000+206031174</f>
        <v>1418031174</v>
      </c>
      <c r="M22" s="22">
        <f t="shared" si="1"/>
        <v>270000000</v>
      </c>
      <c r="N22" s="22">
        <f t="shared" si="2"/>
        <v>856094096.46397591</v>
      </c>
      <c r="O22" s="23">
        <f t="shared" si="3"/>
        <v>586094096.46397591</v>
      </c>
      <c r="R22" s="18"/>
    </row>
    <row r="23" spans="1:18" x14ac:dyDescent="0.25">
      <c r="A23" s="29" t="s">
        <v>25</v>
      </c>
      <c r="B23" s="31" t="s">
        <v>27</v>
      </c>
      <c r="C23" s="21">
        <v>0</v>
      </c>
      <c r="D23" s="21">
        <v>214767618.9482038</v>
      </c>
      <c r="E23" s="21">
        <v>0</v>
      </c>
      <c r="F23" s="21">
        <v>583396971.5470376</v>
      </c>
      <c r="G23" s="21">
        <v>0</v>
      </c>
      <c r="H23" s="22">
        <v>0</v>
      </c>
      <c r="I23" s="22">
        <v>116679394.2</v>
      </c>
      <c r="J23" s="22">
        <f t="shared" si="0"/>
        <v>466717577.23763013</v>
      </c>
      <c r="K23" s="22">
        <f>1393200000+348586292</f>
        <v>1741786292</v>
      </c>
      <c r="L23" s="22">
        <f>1636200000+398586292</f>
        <v>2034786292</v>
      </c>
      <c r="M23" s="22">
        <f t="shared" si="1"/>
        <v>293000000</v>
      </c>
      <c r="N23" s="22">
        <f t="shared" si="2"/>
        <v>798164590.38583398</v>
      </c>
      <c r="O23" s="23">
        <f t="shared" si="3"/>
        <v>505164590.38583398</v>
      </c>
    </row>
    <row r="24" spans="1:18" x14ac:dyDescent="0.25">
      <c r="A24" s="29" t="s">
        <v>25</v>
      </c>
      <c r="B24" s="31" t="s">
        <v>28</v>
      </c>
      <c r="C24" s="21">
        <v>0</v>
      </c>
      <c r="D24" s="21">
        <v>372847733.58624297</v>
      </c>
      <c r="E24" s="21">
        <v>0</v>
      </c>
      <c r="F24" s="21">
        <v>1038651385.3627254</v>
      </c>
      <c r="G24" s="21">
        <v>0</v>
      </c>
      <c r="H24" s="22">
        <v>0</v>
      </c>
      <c r="I24" s="22">
        <v>207730276.80000001</v>
      </c>
      <c r="J24" s="22">
        <f t="shared" si="0"/>
        <v>830921108.29018033</v>
      </c>
      <c r="K24" s="22">
        <v>1944000000</v>
      </c>
      <c r="L24" s="22">
        <f>2424000000+193000000</f>
        <v>2617000000</v>
      </c>
      <c r="M24" s="22">
        <f t="shared" si="1"/>
        <v>673000000</v>
      </c>
      <c r="N24" s="22">
        <f t="shared" si="2"/>
        <v>1411499118.6764233</v>
      </c>
      <c r="O24" s="23">
        <f t="shared" si="3"/>
        <v>738499118.67642331</v>
      </c>
    </row>
    <row r="25" spans="1:18" x14ac:dyDescent="0.25">
      <c r="A25" s="29" t="s">
        <v>25</v>
      </c>
      <c r="B25" s="31" t="s">
        <v>29</v>
      </c>
      <c r="C25" s="21">
        <v>0</v>
      </c>
      <c r="D25" s="21">
        <v>246274666.99632907</v>
      </c>
      <c r="E25" s="21">
        <v>0</v>
      </c>
      <c r="F25" s="21">
        <v>694029200.34624827</v>
      </c>
      <c r="G25" s="21">
        <v>0</v>
      </c>
      <c r="H25" s="22">
        <v>0</v>
      </c>
      <c r="I25" s="22">
        <v>138805839.80000004</v>
      </c>
      <c r="J25" s="22">
        <f t="shared" si="0"/>
        <v>555223360.27699864</v>
      </c>
      <c r="K25" s="22">
        <f>229500000+928800000+348586292</f>
        <v>1506886292</v>
      </c>
      <c r="L25" s="22">
        <f>306000000+1090800000+398586292</f>
        <v>1795386292</v>
      </c>
      <c r="M25" s="22">
        <f t="shared" si="1"/>
        <v>288500000</v>
      </c>
      <c r="N25" s="22">
        <f t="shared" si="2"/>
        <v>940303867.07332778</v>
      </c>
      <c r="O25" s="23">
        <f t="shared" si="3"/>
        <v>651803867.07332778</v>
      </c>
    </row>
    <row r="26" spans="1:18" x14ac:dyDescent="0.25">
      <c r="A26" s="29" t="s">
        <v>25</v>
      </c>
      <c r="B26" s="31" t="s">
        <v>30</v>
      </c>
      <c r="C26" s="21">
        <v>0</v>
      </c>
      <c r="D26" s="21">
        <v>241494936.3169539</v>
      </c>
      <c r="E26" s="21">
        <v>0</v>
      </c>
      <c r="F26" s="21">
        <v>660800137.632447</v>
      </c>
      <c r="G26" s="21">
        <v>0</v>
      </c>
      <c r="H26" s="22">
        <v>0</v>
      </c>
      <c r="I26" s="22">
        <v>132160027.20000003</v>
      </c>
      <c r="J26" s="22">
        <f t="shared" si="0"/>
        <v>528640110.10595763</v>
      </c>
      <c r="K26" s="22">
        <f>537300000+94500000+739600000</f>
        <v>1371400000</v>
      </c>
      <c r="L26" s="22">
        <f>677401707+147840000+105105158+126000000+868600000+112425387</f>
        <v>2037372252</v>
      </c>
      <c r="M26" s="22">
        <f t="shared" si="1"/>
        <v>665972252</v>
      </c>
      <c r="N26" s="22">
        <f t="shared" si="2"/>
        <v>902295073.62291157</v>
      </c>
      <c r="O26" s="23">
        <f t="shared" si="3"/>
        <v>236322821.62291157</v>
      </c>
    </row>
    <row r="27" spans="1:18" x14ac:dyDescent="0.25">
      <c r="A27" s="29" t="s">
        <v>25</v>
      </c>
      <c r="B27" s="31" t="s">
        <v>31</v>
      </c>
      <c r="C27" s="21">
        <v>0</v>
      </c>
      <c r="D27" s="21">
        <v>144535699.08117893</v>
      </c>
      <c r="E27" s="21">
        <v>0</v>
      </c>
      <c r="F27" s="21">
        <v>392929219.41084433</v>
      </c>
      <c r="G27" s="21">
        <v>0</v>
      </c>
      <c r="H27" s="22">
        <v>0</v>
      </c>
      <c r="I27" s="22">
        <v>78585843.799999997</v>
      </c>
      <c r="J27" s="22">
        <f t="shared" si="0"/>
        <v>314343375.5286755</v>
      </c>
      <c r="K27" s="22">
        <f>270000000+1548000000</f>
        <v>1818000000</v>
      </c>
      <c r="L27" s="22">
        <f>360000000+1818000000</f>
        <v>2178000000</v>
      </c>
      <c r="M27" s="22">
        <f t="shared" si="1"/>
        <v>360000000</v>
      </c>
      <c r="N27" s="22">
        <f t="shared" si="2"/>
        <v>537464918.40985441</v>
      </c>
      <c r="O27" s="23">
        <f t="shared" si="3"/>
        <v>177464918.40985441</v>
      </c>
    </row>
    <row r="28" spans="1:18" x14ac:dyDescent="0.25">
      <c r="A28" s="29" t="s">
        <v>25</v>
      </c>
      <c r="B28" s="31" t="s">
        <v>32</v>
      </c>
      <c r="C28" s="21">
        <v>0</v>
      </c>
      <c r="D28" s="21">
        <v>279390330.68360168</v>
      </c>
      <c r="E28" s="21">
        <v>0</v>
      </c>
      <c r="F28" s="21">
        <v>784231568.99407291</v>
      </c>
      <c r="G28" s="21">
        <v>0</v>
      </c>
      <c r="H28" s="22">
        <v>0</v>
      </c>
      <c r="I28" s="22">
        <v>156846313.59999999</v>
      </c>
      <c r="J28" s="22">
        <f t="shared" si="0"/>
        <v>627385255.19525838</v>
      </c>
      <c r="K28" s="22">
        <v>0</v>
      </c>
      <c r="L28" s="22">
        <f>48778000+149582000+53650000</f>
        <v>252010000</v>
      </c>
      <c r="M28" s="22">
        <f t="shared" si="1"/>
        <v>252010000</v>
      </c>
      <c r="N28" s="22">
        <f t="shared" si="2"/>
        <v>1063621899.47886</v>
      </c>
      <c r="O28" s="23">
        <f t="shared" si="3"/>
        <v>811611899.47886002</v>
      </c>
    </row>
    <row r="29" spans="1:18" x14ac:dyDescent="0.25">
      <c r="A29" s="29" t="s">
        <v>25</v>
      </c>
      <c r="B29" s="31" t="s">
        <v>33</v>
      </c>
      <c r="C29" s="21">
        <v>0</v>
      </c>
      <c r="D29" s="21">
        <v>314963874.99245691</v>
      </c>
      <c r="E29" s="21">
        <v>0</v>
      </c>
      <c r="F29" s="21">
        <v>875291571.75009882</v>
      </c>
      <c r="G29" s="21">
        <v>0</v>
      </c>
      <c r="H29" s="22">
        <v>0</v>
      </c>
      <c r="I29" s="22">
        <v>175058314.20000002</v>
      </c>
      <c r="J29" s="22">
        <f t="shared" si="0"/>
        <v>700233257.40007913</v>
      </c>
      <c r="K29" s="22">
        <v>972000000</v>
      </c>
      <c r="L29" s="22">
        <v>1212000000</v>
      </c>
      <c r="M29" s="22">
        <f t="shared" si="1"/>
        <v>240000000</v>
      </c>
      <c r="N29" s="22">
        <f t="shared" si="2"/>
        <v>1190255446.592536</v>
      </c>
      <c r="O29" s="23">
        <f t="shared" si="3"/>
        <v>950255446.59253597</v>
      </c>
    </row>
    <row r="30" spans="1:18" x14ac:dyDescent="0.25">
      <c r="A30" s="29" t="s">
        <v>25</v>
      </c>
      <c r="B30" s="31" t="s">
        <v>34</v>
      </c>
      <c r="C30" s="21">
        <v>0</v>
      </c>
      <c r="D30" s="21">
        <v>225658012.95329931</v>
      </c>
      <c r="E30" s="21">
        <v>0</v>
      </c>
      <c r="F30" s="21">
        <v>625754611.9473598</v>
      </c>
      <c r="G30" s="21">
        <v>0</v>
      </c>
      <c r="H30" s="22">
        <v>0</v>
      </c>
      <c r="I30" s="22">
        <v>125150922.20000003</v>
      </c>
      <c r="J30" s="22">
        <f t="shared" si="0"/>
        <v>500603689.55788785</v>
      </c>
      <c r="K30" s="22">
        <f>1874800000+145206383</f>
        <v>2020006383</v>
      </c>
      <c r="L30" s="22">
        <f>2201800000+206031174</f>
        <v>2407831174</v>
      </c>
      <c r="M30" s="22">
        <f t="shared" si="1"/>
        <v>387824791</v>
      </c>
      <c r="N30" s="22">
        <f t="shared" si="2"/>
        <v>851412624.71118712</v>
      </c>
      <c r="O30" s="23">
        <f t="shared" si="3"/>
        <v>463587833.71118712</v>
      </c>
    </row>
    <row r="31" spans="1:18" x14ac:dyDescent="0.25">
      <c r="A31" s="29" t="s">
        <v>25</v>
      </c>
      <c r="B31" s="31" t="s">
        <v>159</v>
      </c>
      <c r="C31" s="21">
        <v>0</v>
      </c>
      <c r="D31" s="21">
        <v>152495724.87255925</v>
      </c>
      <c r="E31" s="21">
        <v>0</v>
      </c>
      <c r="F31" s="21">
        <v>414737126.8146857</v>
      </c>
      <c r="G31" s="21">
        <v>0</v>
      </c>
      <c r="H31" s="22">
        <v>0</v>
      </c>
      <c r="I31" s="22">
        <v>82947425</v>
      </c>
      <c r="J31" s="22">
        <f t="shared" si="0"/>
        <v>331789701.45174861</v>
      </c>
      <c r="K31" s="22">
        <v>0</v>
      </c>
      <c r="L31" s="22">
        <v>483681412</v>
      </c>
      <c r="M31" s="22">
        <f t="shared" si="1"/>
        <v>483681412</v>
      </c>
      <c r="N31" s="22">
        <f t="shared" si="2"/>
        <v>567232851.32430792</v>
      </c>
      <c r="O31" s="23">
        <f t="shared" si="3"/>
        <v>83551439.324307919</v>
      </c>
    </row>
    <row r="32" spans="1:18" x14ac:dyDescent="0.25">
      <c r="A32" s="29" t="s">
        <v>25</v>
      </c>
      <c r="B32" s="31" t="s">
        <v>36</v>
      </c>
      <c r="C32" s="21">
        <v>0</v>
      </c>
      <c r="D32" s="21">
        <v>234575836.97521561</v>
      </c>
      <c r="E32" s="21">
        <v>0</v>
      </c>
      <c r="F32" s="21">
        <v>637271776.70904052</v>
      </c>
      <c r="G32" s="21">
        <v>0</v>
      </c>
      <c r="H32" s="22">
        <v>0</v>
      </c>
      <c r="I32" s="22">
        <v>127454355.2</v>
      </c>
      <c r="J32" s="22">
        <f t="shared" si="0"/>
        <v>509817421.36723244</v>
      </c>
      <c r="K32" s="22">
        <f>1376000000+216000000</f>
        <v>1592000000</v>
      </c>
      <c r="L32" s="22">
        <f>1616000000+288000000+234575836+135911783</f>
        <v>2274487619</v>
      </c>
      <c r="M32" s="22">
        <f t="shared" si="1"/>
        <v>682487619</v>
      </c>
      <c r="N32" s="22">
        <f t="shared" si="2"/>
        <v>871847613.54244804</v>
      </c>
      <c r="O32" s="23">
        <f t="shared" si="3"/>
        <v>189359994.54244804</v>
      </c>
    </row>
    <row r="33" spans="1:15" x14ac:dyDescent="0.25">
      <c r="A33" s="29" t="s">
        <v>25</v>
      </c>
      <c r="B33" s="31" t="s">
        <v>37</v>
      </c>
      <c r="C33" s="21">
        <v>0</v>
      </c>
      <c r="D33" s="21">
        <v>496553306.85539991</v>
      </c>
      <c r="E33" s="21">
        <v>0</v>
      </c>
      <c r="F33" s="21">
        <v>1379322802.9120202</v>
      </c>
      <c r="G33" s="21">
        <v>0</v>
      </c>
      <c r="H33" s="22">
        <v>0</v>
      </c>
      <c r="I33" s="22">
        <v>275864560.40000004</v>
      </c>
      <c r="J33" s="22">
        <f t="shared" si="0"/>
        <v>1103458242.3296163</v>
      </c>
      <c r="K33" s="22">
        <f>2916000000</f>
        <v>2916000000</v>
      </c>
      <c r="L33" s="22">
        <f>3636000000+296462640+350000000</f>
        <v>4282462640</v>
      </c>
      <c r="M33" s="22">
        <f t="shared" si="1"/>
        <v>1366462640</v>
      </c>
      <c r="N33" s="22">
        <f t="shared" si="2"/>
        <v>1875876109.5850163</v>
      </c>
      <c r="O33" s="23">
        <f t="shared" si="3"/>
        <v>509413469.58501625</v>
      </c>
    </row>
    <row r="34" spans="1:15" x14ac:dyDescent="0.25">
      <c r="A34" s="29" t="s">
        <v>47</v>
      </c>
      <c r="B34" s="31" t="s">
        <v>151</v>
      </c>
      <c r="C34" s="21">
        <v>94261500.093251601</v>
      </c>
      <c r="D34" s="21">
        <v>247918077.43792874</v>
      </c>
      <c r="E34" s="21">
        <v>46705674.056917459</v>
      </c>
      <c r="F34" s="21">
        <v>684416905.21069467</v>
      </c>
      <c r="G34" s="21">
        <v>73930640</v>
      </c>
      <c r="H34" s="22">
        <v>0</v>
      </c>
      <c r="I34" s="22">
        <v>136883380.79999998</v>
      </c>
      <c r="J34" s="22">
        <f t="shared" si="0"/>
        <v>584898063.41408968</v>
      </c>
      <c r="K34" s="22">
        <f>1032000000</f>
        <v>1032000000</v>
      </c>
      <c r="L34" s="22">
        <f>1212000000+747077638</f>
        <v>1959077638</v>
      </c>
      <c r="M34" s="22">
        <f t="shared" si="1"/>
        <v>927077638</v>
      </c>
      <c r="N34" s="22">
        <f t="shared" si="2"/>
        <v>1063961021.74527</v>
      </c>
      <c r="O34" s="23">
        <f t="shared" si="3"/>
        <v>136883383.74527001</v>
      </c>
    </row>
    <row r="35" spans="1:15" x14ac:dyDescent="0.25">
      <c r="A35" s="29" t="s">
        <v>47</v>
      </c>
      <c r="B35" s="31" t="s">
        <v>49</v>
      </c>
      <c r="C35" s="21">
        <v>0</v>
      </c>
      <c r="D35" s="21">
        <v>332943386.46638864</v>
      </c>
      <c r="E35" s="21">
        <v>0</v>
      </c>
      <c r="F35" s="21">
        <v>912081594.06719172</v>
      </c>
      <c r="G35" s="21">
        <v>0</v>
      </c>
      <c r="H35" s="22">
        <v>0</v>
      </c>
      <c r="I35" s="22">
        <v>182416318.60000002</v>
      </c>
      <c r="J35" s="22">
        <f t="shared" si="0"/>
        <v>729665275.25375342</v>
      </c>
      <c r="K35" s="22">
        <f>212843940+2064000000</f>
        <v>2276843940</v>
      </c>
      <c r="L35" s="22">
        <f>360281052+2424000000+544694914</f>
        <v>3328975966</v>
      </c>
      <c r="M35" s="22">
        <f t="shared" si="1"/>
        <v>1052132026</v>
      </c>
      <c r="N35" s="22">
        <f t="shared" si="2"/>
        <v>1245024980.320142</v>
      </c>
      <c r="O35" s="23">
        <f t="shared" si="3"/>
        <v>192892954.32014203</v>
      </c>
    </row>
    <row r="36" spans="1:15" x14ac:dyDescent="0.25">
      <c r="A36" s="29" t="s">
        <v>47</v>
      </c>
      <c r="B36" s="31" t="s">
        <v>50</v>
      </c>
      <c r="C36" s="21">
        <v>0</v>
      </c>
      <c r="D36" s="21">
        <v>181656298.26362002</v>
      </c>
      <c r="E36" s="21">
        <v>0</v>
      </c>
      <c r="F36" s="21">
        <v>504481369.31322747</v>
      </c>
      <c r="G36" s="21">
        <v>0</v>
      </c>
      <c r="H36" s="22">
        <v>0</v>
      </c>
      <c r="I36" s="22">
        <v>100896273.60000001</v>
      </c>
      <c r="J36" s="22">
        <f t="shared" ref="J36:J67" si="4">(E36+F36)*80%</f>
        <v>403585095.45058203</v>
      </c>
      <c r="K36" s="22">
        <v>0</v>
      </c>
      <c r="L36" s="22">
        <v>0</v>
      </c>
      <c r="M36" s="22">
        <f t="shared" ref="M36:M67" si="5">L36-K36</f>
        <v>0</v>
      </c>
      <c r="N36" s="22">
        <f t="shared" ref="N36:N67" si="6">C36+D36+H36+I36+J36</f>
        <v>686137667.31420207</v>
      </c>
      <c r="O36" s="23">
        <f t="shared" ref="O36:O67" si="7">N36-M36</f>
        <v>686137667.31420207</v>
      </c>
    </row>
    <row r="37" spans="1:15" x14ac:dyDescent="0.25">
      <c r="A37" s="29" t="s">
        <v>47</v>
      </c>
      <c r="B37" s="31" t="s">
        <v>51</v>
      </c>
      <c r="C37" s="21">
        <v>0</v>
      </c>
      <c r="D37" s="21">
        <v>333045374.08765727</v>
      </c>
      <c r="E37" s="21">
        <v>0</v>
      </c>
      <c r="F37" s="21">
        <v>936172131.23795629</v>
      </c>
      <c r="G37" s="21">
        <v>0</v>
      </c>
      <c r="H37" s="22">
        <v>0</v>
      </c>
      <c r="I37" s="22">
        <v>187234426</v>
      </c>
      <c r="J37" s="22">
        <f t="shared" si="4"/>
        <v>748937704.99036503</v>
      </c>
      <c r="K37" s="22">
        <f>7575992</f>
        <v>7575992</v>
      </c>
      <c r="L37" s="22">
        <f>135130158+307433635</f>
        <v>442563793</v>
      </c>
      <c r="M37" s="22">
        <f t="shared" si="5"/>
        <v>434987801</v>
      </c>
      <c r="N37" s="22">
        <f t="shared" si="6"/>
        <v>1269217505.0780222</v>
      </c>
      <c r="O37" s="23">
        <f t="shared" si="7"/>
        <v>834229704.07802224</v>
      </c>
    </row>
    <row r="38" spans="1:15" x14ac:dyDescent="0.25">
      <c r="A38" s="29" t="s">
        <v>47</v>
      </c>
      <c r="B38" s="31" t="s">
        <v>52</v>
      </c>
      <c r="C38" s="21">
        <v>2087757.6068373737</v>
      </c>
      <c r="D38" s="21">
        <v>235475387.74173886</v>
      </c>
      <c r="E38" s="21">
        <v>1708832.0657151705</v>
      </c>
      <c r="F38" s="21">
        <v>653600008.74468172</v>
      </c>
      <c r="G38" s="21">
        <v>781188</v>
      </c>
      <c r="H38" s="22">
        <v>341766.2</v>
      </c>
      <c r="I38" s="22">
        <v>130720001.60000001</v>
      </c>
      <c r="J38" s="22">
        <f t="shared" si="4"/>
        <v>524247072.64831758</v>
      </c>
      <c r="K38" s="22">
        <v>0</v>
      </c>
      <c r="L38" s="22">
        <f>237563146</f>
        <v>237563146</v>
      </c>
      <c r="M38" s="22">
        <f t="shared" si="5"/>
        <v>237563146</v>
      </c>
      <c r="N38" s="22">
        <f t="shared" si="6"/>
        <v>892871985.79689384</v>
      </c>
      <c r="O38" s="23">
        <f t="shared" si="7"/>
        <v>655308839.79689384</v>
      </c>
    </row>
    <row r="39" spans="1:15" x14ac:dyDescent="0.25">
      <c r="A39" s="29" t="s">
        <v>47</v>
      </c>
      <c r="B39" s="31" t="s">
        <v>53</v>
      </c>
      <c r="C39" s="21">
        <v>0</v>
      </c>
      <c r="D39" s="21">
        <v>315339356.44961941</v>
      </c>
      <c r="E39" s="21">
        <v>0</v>
      </c>
      <c r="F39" s="21">
        <v>875548642.11840546</v>
      </c>
      <c r="G39" s="21">
        <v>0</v>
      </c>
      <c r="H39" s="22">
        <v>0</v>
      </c>
      <c r="I39" s="22">
        <v>175109728.20000005</v>
      </c>
      <c r="J39" s="22">
        <f t="shared" si="4"/>
        <v>700438913.69472444</v>
      </c>
      <c r="K39" s="22">
        <v>204180983</v>
      </c>
      <c r="L39" s="22">
        <f>408361966+110819017</f>
        <v>519180983</v>
      </c>
      <c r="M39" s="22">
        <f t="shared" si="5"/>
        <v>315000000</v>
      </c>
      <c r="N39" s="22">
        <f t="shared" si="6"/>
        <v>1190887998.3443439</v>
      </c>
      <c r="O39" s="23">
        <f t="shared" si="7"/>
        <v>875887998.3443439</v>
      </c>
    </row>
    <row r="40" spans="1:15" x14ac:dyDescent="0.25">
      <c r="A40" s="29" t="s">
        <v>47</v>
      </c>
      <c r="B40" s="31" t="s">
        <v>54</v>
      </c>
      <c r="C40" s="21">
        <v>0</v>
      </c>
      <c r="D40" s="21">
        <v>427220718.36554521</v>
      </c>
      <c r="E40" s="21">
        <v>0</v>
      </c>
      <c r="F40" s="21">
        <v>1197304555.3130658</v>
      </c>
      <c r="G40" s="21">
        <v>0</v>
      </c>
      <c r="H40" s="22">
        <v>0</v>
      </c>
      <c r="I40" s="22">
        <v>239460910.80000001</v>
      </c>
      <c r="J40" s="22">
        <f t="shared" si="4"/>
        <v>957843644.25045264</v>
      </c>
      <c r="K40" s="22">
        <v>61476377</v>
      </c>
      <c r="L40" s="22">
        <v>488476377</v>
      </c>
      <c r="M40" s="22">
        <f t="shared" si="5"/>
        <v>427000000</v>
      </c>
      <c r="N40" s="22">
        <f t="shared" si="6"/>
        <v>1624525273.415998</v>
      </c>
      <c r="O40" s="23">
        <f t="shared" si="7"/>
        <v>1197525273.415998</v>
      </c>
    </row>
    <row r="41" spans="1:15" x14ac:dyDescent="0.25">
      <c r="A41" s="29" t="s">
        <v>47</v>
      </c>
      <c r="B41" s="31" t="s">
        <v>55</v>
      </c>
      <c r="C41" s="21">
        <v>98793790.314736143</v>
      </c>
      <c r="D41" s="21">
        <v>338790943.87467194</v>
      </c>
      <c r="E41" s="21">
        <v>47018364.769146174</v>
      </c>
      <c r="F41" s="21">
        <v>905040346.00501251</v>
      </c>
      <c r="G41" s="21">
        <v>43434309</v>
      </c>
      <c r="H41" s="22">
        <v>9403672.8000000007</v>
      </c>
      <c r="I41" s="22">
        <v>181008069</v>
      </c>
      <c r="J41" s="22">
        <f t="shared" si="4"/>
        <v>761646968.61932707</v>
      </c>
      <c r="K41" s="22">
        <v>0</v>
      </c>
      <c r="L41" s="22">
        <f>246740000</f>
        <v>246740000</v>
      </c>
      <c r="M41" s="22">
        <f t="shared" si="5"/>
        <v>246740000</v>
      </c>
      <c r="N41" s="22">
        <f t="shared" si="6"/>
        <v>1389643444.6087351</v>
      </c>
      <c r="O41" s="23">
        <f t="shared" si="7"/>
        <v>1142903444.6087351</v>
      </c>
    </row>
    <row r="42" spans="1:15" x14ac:dyDescent="0.25">
      <c r="A42" s="29" t="s">
        <v>82</v>
      </c>
      <c r="B42" s="31" t="s">
        <v>83</v>
      </c>
      <c r="C42" s="21">
        <v>0</v>
      </c>
      <c r="D42" s="21">
        <v>135943732.39664716</v>
      </c>
      <c r="E42" s="21">
        <v>0</v>
      </c>
      <c r="F42" s="21">
        <v>380772476.62853259</v>
      </c>
      <c r="G42" s="21">
        <v>0</v>
      </c>
      <c r="H42" s="22">
        <v>0</v>
      </c>
      <c r="I42" s="22">
        <v>76154495</v>
      </c>
      <c r="J42" s="22">
        <f t="shared" si="4"/>
        <v>304617981.30282611</v>
      </c>
      <c r="K42" s="22">
        <f>201000000+1720000000</f>
        <v>1921000000</v>
      </c>
      <c r="L42" s="22">
        <f>335000000+2020000000</f>
        <v>2355000000</v>
      </c>
      <c r="M42" s="22">
        <f t="shared" si="5"/>
        <v>434000000</v>
      </c>
      <c r="N42" s="22">
        <f t="shared" si="6"/>
        <v>516716208.69947326</v>
      </c>
      <c r="O42" s="23">
        <f t="shared" si="7"/>
        <v>82716208.699473262</v>
      </c>
    </row>
    <row r="43" spans="1:15" x14ac:dyDescent="0.25">
      <c r="A43" s="29" t="s">
        <v>82</v>
      </c>
      <c r="B43" s="31" t="s">
        <v>84</v>
      </c>
      <c r="C43" s="21">
        <v>0</v>
      </c>
      <c r="D43" s="21">
        <v>149385262.63217559</v>
      </c>
      <c r="E43" s="21">
        <v>0</v>
      </c>
      <c r="F43" s="21">
        <v>412164198.94004041</v>
      </c>
      <c r="G43" s="21">
        <v>0</v>
      </c>
      <c r="H43" s="22">
        <v>0</v>
      </c>
      <c r="I43" s="22">
        <v>82432839.600000009</v>
      </c>
      <c r="J43" s="22">
        <f t="shared" si="4"/>
        <v>329731359.15203238</v>
      </c>
      <c r="K43" s="22">
        <f>972000000+131132756</f>
        <v>1103132756</v>
      </c>
      <c r="L43" s="22">
        <f>1212000000+161132756</f>
        <v>1373132756</v>
      </c>
      <c r="M43" s="22">
        <f t="shared" si="5"/>
        <v>270000000</v>
      </c>
      <c r="N43" s="22">
        <f t="shared" si="6"/>
        <v>561549461.38420796</v>
      </c>
      <c r="O43" s="23">
        <f t="shared" si="7"/>
        <v>291549461.38420796</v>
      </c>
    </row>
    <row r="44" spans="1:15" x14ac:dyDescent="0.25">
      <c r="A44" s="29" t="s">
        <v>82</v>
      </c>
      <c r="B44" s="31" t="s">
        <v>85</v>
      </c>
      <c r="C44" s="21">
        <v>0</v>
      </c>
      <c r="D44" s="21">
        <v>122431319.76819202</v>
      </c>
      <c r="E44" s="21">
        <v>0</v>
      </c>
      <c r="F44" s="21">
        <v>331605240.70275646</v>
      </c>
      <c r="G44" s="21">
        <v>0</v>
      </c>
      <c r="H44" s="22">
        <v>0</v>
      </c>
      <c r="I44" s="22">
        <v>66321047.800000004</v>
      </c>
      <c r="J44" s="22">
        <f t="shared" si="4"/>
        <v>265284192.5622052</v>
      </c>
      <c r="K44" s="22">
        <f>1032000000+146132756</f>
        <v>1178132756</v>
      </c>
      <c r="L44" s="22">
        <f>1212000000+161132756</f>
        <v>1373132756</v>
      </c>
      <c r="M44" s="22">
        <f t="shared" si="5"/>
        <v>195000000</v>
      </c>
      <c r="N44" s="22">
        <f t="shared" si="6"/>
        <v>454036560.1303972</v>
      </c>
      <c r="O44" s="23">
        <f t="shared" si="7"/>
        <v>259036560.1303972</v>
      </c>
    </row>
    <row r="45" spans="1:15" x14ac:dyDescent="0.25">
      <c r="A45" s="29" t="s">
        <v>82</v>
      </c>
      <c r="B45" s="31" t="s">
        <v>86</v>
      </c>
      <c r="C45" s="21">
        <v>0</v>
      </c>
      <c r="D45" s="21">
        <v>173445293.05923864</v>
      </c>
      <c r="E45" s="21">
        <v>0</v>
      </c>
      <c r="F45" s="21">
        <v>480405974.99290234</v>
      </c>
      <c r="G45" s="21">
        <v>0</v>
      </c>
      <c r="H45" s="22">
        <v>0</v>
      </c>
      <c r="I45" s="22">
        <v>96081194.600000009</v>
      </c>
      <c r="J45" s="22">
        <f t="shared" si="4"/>
        <v>384324779.99432188</v>
      </c>
      <c r="K45" s="22">
        <f>761400000+116132756</f>
        <v>877532756</v>
      </c>
      <c r="L45" s="22">
        <f>949400000+161132756</f>
        <v>1110532756</v>
      </c>
      <c r="M45" s="22">
        <f t="shared" si="5"/>
        <v>233000000</v>
      </c>
      <c r="N45" s="22">
        <f t="shared" si="6"/>
        <v>653851267.65356052</v>
      </c>
      <c r="O45" s="23">
        <f t="shared" si="7"/>
        <v>420851267.65356052</v>
      </c>
    </row>
    <row r="46" spans="1:15" x14ac:dyDescent="0.25">
      <c r="A46" s="29" t="s">
        <v>82</v>
      </c>
      <c r="B46" s="31" t="s">
        <v>87</v>
      </c>
      <c r="C46" s="21">
        <v>256445411.21394414</v>
      </c>
      <c r="D46" s="21">
        <v>90621832.086483717</v>
      </c>
      <c r="E46" s="21">
        <v>316965525.08030111</v>
      </c>
      <c r="F46" s="21">
        <v>247441903.24939179</v>
      </c>
      <c r="G46" s="21">
        <v>97161405</v>
      </c>
      <c r="H46" s="22">
        <v>0</v>
      </c>
      <c r="I46" s="22">
        <v>49488380.600000001</v>
      </c>
      <c r="J46" s="22">
        <f t="shared" si="4"/>
        <v>451525942.66375428</v>
      </c>
      <c r="K46" s="22">
        <f>352935093+274135308+860000000+186031174</f>
        <v>1673101575</v>
      </c>
      <c r="L46" s="22">
        <f>430408650+407861554+160000000+1010000000+206031174</f>
        <v>2214301378</v>
      </c>
      <c r="M46" s="22">
        <f t="shared" si="5"/>
        <v>541199803</v>
      </c>
      <c r="N46" s="22">
        <f t="shared" si="6"/>
        <v>848081566.56418216</v>
      </c>
      <c r="O46" s="23">
        <f t="shared" si="7"/>
        <v>306881763.56418216</v>
      </c>
    </row>
    <row r="47" spans="1:15" x14ac:dyDescent="0.25">
      <c r="A47" s="29" t="s">
        <v>82</v>
      </c>
      <c r="B47" s="31" t="s">
        <v>154</v>
      </c>
      <c r="C47" s="21">
        <v>0</v>
      </c>
      <c r="D47" s="21">
        <v>340378878.84579241</v>
      </c>
      <c r="E47" s="21">
        <v>0</v>
      </c>
      <c r="F47" s="21">
        <v>941597212.14389753</v>
      </c>
      <c r="G47" s="21">
        <v>0</v>
      </c>
      <c r="H47" s="22">
        <v>0</v>
      </c>
      <c r="I47" s="22">
        <v>188319442.20000002</v>
      </c>
      <c r="J47" s="22">
        <f t="shared" si="4"/>
        <v>753277769.71511805</v>
      </c>
      <c r="K47" s="22">
        <f>255000000+1892000000+174279283</f>
        <v>2321279283</v>
      </c>
      <c r="L47" s="22">
        <f>425000000+2222000000+189279283</f>
        <v>2836279283</v>
      </c>
      <c r="M47" s="22">
        <f t="shared" si="5"/>
        <v>515000000</v>
      </c>
      <c r="N47" s="22">
        <f t="shared" si="6"/>
        <v>1281976090.7609105</v>
      </c>
      <c r="O47" s="23">
        <f t="shared" si="7"/>
        <v>766976090.76091051</v>
      </c>
    </row>
    <row r="48" spans="1:15" x14ac:dyDescent="0.25">
      <c r="A48" s="29" t="s">
        <v>82</v>
      </c>
      <c r="B48" s="31" t="s">
        <v>89</v>
      </c>
      <c r="C48" s="21">
        <v>0</v>
      </c>
      <c r="D48" s="21">
        <v>196899820.68228543</v>
      </c>
      <c r="E48" s="21">
        <v>0</v>
      </c>
      <c r="F48" s="21">
        <v>546167850.71442342</v>
      </c>
      <c r="G48" s="21">
        <v>0</v>
      </c>
      <c r="H48" s="22">
        <v>0</v>
      </c>
      <c r="I48" s="22">
        <v>109233570</v>
      </c>
      <c r="J48" s="22">
        <f t="shared" si="4"/>
        <v>436934280.57153875</v>
      </c>
      <c r="K48" s="22">
        <f>972000000+55000000+368586292</f>
        <v>1395586292</v>
      </c>
      <c r="L48" s="22">
        <f>1212000000+116704764+398586292</f>
        <v>1727291056</v>
      </c>
      <c r="M48" s="22">
        <f t="shared" si="5"/>
        <v>331704764</v>
      </c>
      <c r="N48" s="22">
        <f t="shared" si="6"/>
        <v>743067671.25382423</v>
      </c>
      <c r="O48" s="23">
        <f t="shared" si="7"/>
        <v>411362907.25382423</v>
      </c>
    </row>
    <row r="49" spans="1:15" x14ac:dyDescent="0.25">
      <c r="A49" s="29" t="s">
        <v>68</v>
      </c>
      <c r="B49" s="31" t="s">
        <v>69</v>
      </c>
      <c r="C49" s="21">
        <v>0</v>
      </c>
      <c r="D49" s="21">
        <v>306889609.74152458</v>
      </c>
      <c r="E49" s="21">
        <v>0</v>
      </c>
      <c r="F49" s="21">
        <v>836592768.60988426</v>
      </c>
      <c r="G49" s="21">
        <v>0</v>
      </c>
      <c r="H49" s="22">
        <v>0</v>
      </c>
      <c r="I49" s="22">
        <v>167318553.60000002</v>
      </c>
      <c r="J49" s="22">
        <f t="shared" si="4"/>
        <v>669274214.88790751</v>
      </c>
      <c r="K49" s="22">
        <v>0</v>
      </c>
      <c r="L49" s="22">
        <v>0</v>
      </c>
      <c r="M49" s="22">
        <f t="shared" si="5"/>
        <v>0</v>
      </c>
      <c r="N49" s="22">
        <f t="shared" si="6"/>
        <v>1143482378.2294321</v>
      </c>
      <c r="O49" s="23">
        <f t="shared" si="7"/>
        <v>1143482378.2294321</v>
      </c>
    </row>
    <row r="50" spans="1:15" x14ac:dyDescent="0.25">
      <c r="A50" s="29" t="s">
        <v>68</v>
      </c>
      <c r="B50" s="31" t="s">
        <v>70</v>
      </c>
      <c r="C50" s="21">
        <v>0</v>
      </c>
      <c r="D50" s="21">
        <v>233871680.8475166</v>
      </c>
      <c r="E50" s="21">
        <v>0</v>
      </c>
      <c r="F50" s="21">
        <v>638450075.14092767</v>
      </c>
      <c r="G50" s="21">
        <v>0</v>
      </c>
      <c r="H50" s="22">
        <v>0</v>
      </c>
      <c r="I50" s="22">
        <v>127690015</v>
      </c>
      <c r="J50" s="22">
        <f t="shared" si="4"/>
        <v>510760060.11274219</v>
      </c>
      <c r="K50" s="22">
        <f>40547593</f>
        <v>40547593</v>
      </c>
      <c r="L50" s="22">
        <f>274419274</f>
        <v>274419274</v>
      </c>
      <c r="M50" s="22">
        <f t="shared" si="5"/>
        <v>233871681</v>
      </c>
      <c r="N50" s="22">
        <f t="shared" si="6"/>
        <v>872321755.96025872</v>
      </c>
      <c r="O50" s="23">
        <f t="shared" si="7"/>
        <v>638450074.96025872</v>
      </c>
    </row>
    <row r="51" spans="1:15" x14ac:dyDescent="0.25">
      <c r="A51" s="29" t="s">
        <v>71</v>
      </c>
      <c r="B51" s="31" t="s">
        <v>148</v>
      </c>
      <c r="C51" s="21">
        <v>0</v>
      </c>
      <c r="D51" s="21">
        <v>452192340.9123925</v>
      </c>
      <c r="E51" s="21">
        <v>0</v>
      </c>
      <c r="F51" s="21">
        <v>1256592706.4755778</v>
      </c>
      <c r="G51" s="21">
        <v>0</v>
      </c>
      <c r="H51" s="22">
        <v>0</v>
      </c>
      <c r="I51" s="22">
        <v>251318541.20000002</v>
      </c>
      <c r="J51" s="22">
        <f t="shared" si="4"/>
        <v>1005274165.1804624</v>
      </c>
      <c r="K51" s="22">
        <f>140801554</f>
        <v>140801554</v>
      </c>
      <c r="L51" s="22">
        <f>153832198+298167802+490000000</f>
        <v>942000000</v>
      </c>
      <c r="M51" s="22">
        <f t="shared" si="5"/>
        <v>801198446</v>
      </c>
      <c r="N51" s="22">
        <f t="shared" si="6"/>
        <v>1708785047.2928548</v>
      </c>
      <c r="O51" s="23">
        <f t="shared" si="7"/>
        <v>907586601.29285479</v>
      </c>
    </row>
    <row r="52" spans="1:15" x14ac:dyDescent="0.25">
      <c r="A52" s="29" t="s">
        <v>71</v>
      </c>
      <c r="B52" s="31" t="s">
        <v>73</v>
      </c>
      <c r="C52" s="21">
        <v>0</v>
      </c>
      <c r="D52" s="21">
        <v>298017079.19385135</v>
      </c>
      <c r="E52" s="21">
        <v>0</v>
      </c>
      <c r="F52" s="21">
        <v>824985554.18174708</v>
      </c>
      <c r="G52" s="21">
        <v>0</v>
      </c>
      <c r="H52" s="22">
        <v>0</v>
      </c>
      <c r="I52" s="22">
        <v>164997110.60000002</v>
      </c>
      <c r="J52" s="22">
        <f t="shared" si="4"/>
        <v>659988443.34539771</v>
      </c>
      <c r="K52" s="22">
        <v>0</v>
      </c>
      <c r="L52" s="22">
        <f>298017079</f>
        <v>298017079</v>
      </c>
      <c r="M52" s="22">
        <f t="shared" si="5"/>
        <v>298017079</v>
      </c>
      <c r="N52" s="22">
        <f t="shared" si="6"/>
        <v>1123002633.1392491</v>
      </c>
      <c r="O52" s="23">
        <f t="shared" si="7"/>
        <v>824985554.13924909</v>
      </c>
    </row>
    <row r="53" spans="1:15" x14ac:dyDescent="0.25">
      <c r="A53" s="29" t="s">
        <v>71</v>
      </c>
      <c r="B53" s="31" t="s">
        <v>74</v>
      </c>
      <c r="C53" s="21">
        <v>4280.513780246175</v>
      </c>
      <c r="D53" s="21">
        <v>318787879.84952527</v>
      </c>
      <c r="E53" s="21">
        <v>0</v>
      </c>
      <c r="F53" s="21">
        <v>878130087.61471105</v>
      </c>
      <c r="G53" s="21">
        <v>0</v>
      </c>
      <c r="H53" s="22">
        <v>0</v>
      </c>
      <c r="I53" s="22">
        <v>175626017.40000001</v>
      </c>
      <c r="J53" s="22">
        <f t="shared" si="4"/>
        <v>702504070.09176886</v>
      </c>
      <c r="K53" s="22">
        <f>972000000</f>
        <v>972000000</v>
      </c>
      <c r="L53" s="22">
        <f>150000000+1212000000+83881537</f>
        <v>1445881537</v>
      </c>
      <c r="M53" s="22">
        <f t="shared" si="5"/>
        <v>473881537</v>
      </c>
      <c r="N53" s="22">
        <f t="shared" si="6"/>
        <v>1196922247.8550744</v>
      </c>
      <c r="O53" s="23">
        <f t="shared" si="7"/>
        <v>723040710.85507441</v>
      </c>
    </row>
    <row r="54" spans="1:15" x14ac:dyDescent="0.25">
      <c r="A54" s="29" t="s">
        <v>71</v>
      </c>
      <c r="B54" s="31" t="s">
        <v>150</v>
      </c>
      <c r="C54" s="21">
        <v>0</v>
      </c>
      <c r="D54" s="21">
        <v>372570034.43995368</v>
      </c>
      <c r="E54" s="21">
        <v>0</v>
      </c>
      <c r="F54" s="21">
        <v>1032555089.7050034</v>
      </c>
      <c r="G54" s="21">
        <v>0</v>
      </c>
      <c r="H54" s="22">
        <v>0</v>
      </c>
      <c r="I54" s="22">
        <v>206511017.80000001</v>
      </c>
      <c r="J54" s="22">
        <f t="shared" si="4"/>
        <v>826044071.7640028</v>
      </c>
      <c r="K54" s="22">
        <f>2648800000</f>
        <v>2648800000</v>
      </c>
      <c r="L54" s="22">
        <f>320000000+3110800000</f>
        <v>3430800000</v>
      </c>
      <c r="M54" s="22">
        <f t="shared" si="5"/>
        <v>782000000</v>
      </c>
      <c r="N54" s="22">
        <f t="shared" si="6"/>
        <v>1405125124.0039566</v>
      </c>
      <c r="O54" s="23">
        <f t="shared" si="7"/>
        <v>623125124.00395656</v>
      </c>
    </row>
    <row r="55" spans="1:15" x14ac:dyDescent="0.25">
      <c r="A55" s="29" t="s">
        <v>71</v>
      </c>
      <c r="B55" s="31" t="s">
        <v>76</v>
      </c>
      <c r="C55" s="21">
        <v>0</v>
      </c>
      <c r="D55" s="21">
        <v>221258101.51656008</v>
      </c>
      <c r="E55" s="21">
        <v>0</v>
      </c>
      <c r="F55" s="21">
        <v>612757258.90475333</v>
      </c>
      <c r="G55" s="21">
        <v>0</v>
      </c>
      <c r="H55" s="22">
        <v>0</v>
      </c>
      <c r="I55" s="22">
        <v>122551451.60000001</v>
      </c>
      <c r="J55" s="22">
        <f t="shared" si="4"/>
        <v>490205807.12380266</v>
      </c>
      <c r="K55" s="22">
        <f>1944000000</f>
        <v>1944000000</v>
      </c>
      <c r="L55" s="22">
        <f>221000000+2424000000+320000000</f>
        <v>2965000000</v>
      </c>
      <c r="M55" s="22">
        <f t="shared" si="5"/>
        <v>1021000000</v>
      </c>
      <c r="N55" s="22">
        <f t="shared" si="6"/>
        <v>834015360.24036276</v>
      </c>
      <c r="O55" s="23">
        <f t="shared" si="7"/>
        <v>-186984639.75963724</v>
      </c>
    </row>
    <row r="56" spans="1:15" x14ac:dyDescent="0.25">
      <c r="A56" s="29" t="s">
        <v>71</v>
      </c>
      <c r="B56" s="31" t="s">
        <v>77</v>
      </c>
      <c r="C56" s="21">
        <v>0</v>
      </c>
      <c r="D56" s="21">
        <v>218933213.57159701</v>
      </c>
      <c r="E56" s="21">
        <v>0</v>
      </c>
      <c r="F56" s="21">
        <v>608421225.92162406</v>
      </c>
      <c r="G56" s="21">
        <v>0</v>
      </c>
      <c r="H56" s="22">
        <v>0</v>
      </c>
      <c r="I56" s="22">
        <v>121684245</v>
      </c>
      <c r="J56" s="22">
        <f t="shared" si="4"/>
        <v>486736980.73729926</v>
      </c>
      <c r="K56" s="22">
        <f>113810606</f>
        <v>113810606</v>
      </c>
      <c r="L56" s="22">
        <f>218933214+161132756+210973789</f>
        <v>591039759</v>
      </c>
      <c r="M56" s="22">
        <f t="shared" si="5"/>
        <v>477229153</v>
      </c>
      <c r="N56" s="22">
        <f t="shared" si="6"/>
        <v>827354439.3088963</v>
      </c>
      <c r="O56" s="23">
        <f t="shared" si="7"/>
        <v>350125286.3088963</v>
      </c>
    </row>
    <row r="57" spans="1:15" x14ac:dyDescent="0.25">
      <c r="A57" s="29" t="s">
        <v>71</v>
      </c>
      <c r="B57" s="31" t="s">
        <v>78</v>
      </c>
      <c r="C57" s="21">
        <v>0</v>
      </c>
      <c r="D57" s="21">
        <v>119155463.00020088</v>
      </c>
      <c r="E57" s="21">
        <v>0</v>
      </c>
      <c r="F57" s="21">
        <v>332498175.02962625</v>
      </c>
      <c r="G57" s="21">
        <v>0</v>
      </c>
      <c r="H57" s="22">
        <v>0</v>
      </c>
      <c r="I57" s="22">
        <v>66499634.800000004</v>
      </c>
      <c r="J57" s="22">
        <f t="shared" si="4"/>
        <v>265998540.02370101</v>
      </c>
      <c r="K57" s="22">
        <v>0</v>
      </c>
      <c r="L57" s="22">
        <v>238000633.78999999</v>
      </c>
      <c r="M57" s="22">
        <f t="shared" si="5"/>
        <v>238000633.78999999</v>
      </c>
      <c r="N57" s="22">
        <f t="shared" si="6"/>
        <v>451653637.82390189</v>
      </c>
      <c r="O57" s="23">
        <f t="shared" si="7"/>
        <v>213653004.0339019</v>
      </c>
    </row>
    <row r="58" spans="1:15" x14ac:dyDescent="0.25">
      <c r="A58" s="29" t="s">
        <v>71</v>
      </c>
      <c r="B58" s="31" t="s">
        <v>79</v>
      </c>
      <c r="C58" s="21">
        <v>0</v>
      </c>
      <c r="D58" s="21">
        <v>213512384.11187077</v>
      </c>
      <c r="E58" s="21">
        <v>0</v>
      </c>
      <c r="F58" s="21">
        <v>586750597.22084272</v>
      </c>
      <c r="G58" s="21">
        <v>0</v>
      </c>
      <c r="H58" s="22">
        <v>0</v>
      </c>
      <c r="I58" s="22">
        <v>117350119.40000001</v>
      </c>
      <c r="J58" s="22">
        <f t="shared" si="4"/>
        <v>469400477.77667421</v>
      </c>
      <c r="K58" s="22">
        <f>113810606</f>
        <v>113810606</v>
      </c>
      <c r="L58" s="22">
        <f>326692308+161132756+200374085</f>
        <v>688199149</v>
      </c>
      <c r="M58" s="22">
        <f t="shared" si="5"/>
        <v>574388543</v>
      </c>
      <c r="N58" s="22">
        <f t="shared" si="6"/>
        <v>800262981.28854489</v>
      </c>
      <c r="O58" s="23">
        <f t="shared" si="7"/>
        <v>225874438.28854489</v>
      </c>
    </row>
    <row r="59" spans="1:15" x14ac:dyDescent="0.25">
      <c r="A59" s="29" t="s">
        <v>71</v>
      </c>
      <c r="B59" s="31" t="s">
        <v>80</v>
      </c>
      <c r="C59" s="21">
        <v>15474.724508043308</v>
      </c>
      <c r="D59" s="21">
        <v>258464857.91873425</v>
      </c>
      <c r="E59" s="21">
        <v>0</v>
      </c>
      <c r="F59" s="21">
        <v>709029184.04287577</v>
      </c>
      <c r="G59" s="21">
        <v>6418</v>
      </c>
      <c r="H59" s="22">
        <v>0</v>
      </c>
      <c r="I59" s="22">
        <v>141805836.59999999</v>
      </c>
      <c r="J59" s="22">
        <f t="shared" si="4"/>
        <v>567223347.23430061</v>
      </c>
      <c r="K59" s="22">
        <f>930200000+746571429</f>
        <v>1676771429</v>
      </c>
      <c r="L59" s="22">
        <f>14000000+225848238+16000000+1030000000+16500000+878571429</f>
        <v>2180919667</v>
      </c>
      <c r="M59" s="22">
        <f t="shared" si="5"/>
        <v>504148238</v>
      </c>
      <c r="N59" s="22">
        <f t="shared" si="6"/>
        <v>967509516.47754288</v>
      </c>
      <c r="O59" s="23">
        <f t="shared" si="7"/>
        <v>463361278.47754288</v>
      </c>
    </row>
    <row r="60" spans="1:15" x14ac:dyDescent="0.25">
      <c r="A60" s="29" t="s">
        <v>71</v>
      </c>
      <c r="B60" s="31" t="s">
        <v>81</v>
      </c>
      <c r="C60" s="21">
        <v>0</v>
      </c>
      <c r="D60" s="21">
        <v>298258002.27876073</v>
      </c>
      <c r="E60" s="21">
        <v>0</v>
      </c>
      <c r="F60" s="21">
        <v>835821931.44937587</v>
      </c>
      <c r="G60" s="21">
        <v>0</v>
      </c>
      <c r="H60" s="22">
        <v>0</v>
      </c>
      <c r="I60" s="22">
        <v>167164386.00000003</v>
      </c>
      <c r="J60" s="22">
        <f t="shared" si="4"/>
        <v>668657545.15950072</v>
      </c>
      <c r="K60" s="22">
        <v>0</v>
      </c>
      <c r="L60" s="22">
        <f>200000000+97999932</f>
        <v>297999932</v>
      </c>
      <c r="M60" s="22">
        <f t="shared" si="5"/>
        <v>297999932</v>
      </c>
      <c r="N60" s="22">
        <f t="shared" si="6"/>
        <v>1134079933.4382615</v>
      </c>
      <c r="O60" s="23">
        <f t="shared" si="7"/>
        <v>836080001.43826151</v>
      </c>
    </row>
    <row r="61" spans="1:15" x14ac:dyDescent="0.25">
      <c r="A61" s="29" t="s">
        <v>38</v>
      </c>
      <c r="B61" s="31" t="s">
        <v>39</v>
      </c>
      <c r="C61" s="21">
        <v>0</v>
      </c>
      <c r="D61" s="21">
        <v>148362634.55780408</v>
      </c>
      <c r="E61" s="21">
        <v>0</v>
      </c>
      <c r="F61" s="21">
        <v>401017078.15440261</v>
      </c>
      <c r="G61" s="21">
        <v>0</v>
      </c>
      <c r="H61" s="22">
        <v>0</v>
      </c>
      <c r="I61" s="22">
        <v>80203415.599999994</v>
      </c>
      <c r="J61" s="22">
        <f t="shared" si="4"/>
        <v>320813662.52352208</v>
      </c>
      <c r="K61" s="22">
        <f>143132756</f>
        <v>143132756</v>
      </c>
      <c r="L61" s="22">
        <f>161132756</f>
        <v>161132756</v>
      </c>
      <c r="M61" s="22">
        <f t="shared" si="5"/>
        <v>18000000</v>
      </c>
      <c r="N61" s="22">
        <f t="shared" si="6"/>
        <v>549379712.68132615</v>
      </c>
      <c r="O61" s="23">
        <f t="shared" si="7"/>
        <v>531379712.68132615</v>
      </c>
    </row>
    <row r="62" spans="1:15" x14ac:dyDescent="0.25">
      <c r="A62" s="29" t="s">
        <v>38</v>
      </c>
      <c r="B62" s="31" t="s">
        <v>40</v>
      </c>
      <c r="C62" s="21">
        <v>0</v>
      </c>
      <c r="D62" s="21">
        <v>320605346.48974913</v>
      </c>
      <c r="E62" s="21">
        <v>0</v>
      </c>
      <c r="F62" s="21">
        <v>880731414.1273576</v>
      </c>
      <c r="G62" s="21">
        <v>0</v>
      </c>
      <c r="H62" s="22">
        <v>0</v>
      </c>
      <c r="I62" s="22">
        <v>176146282.60000002</v>
      </c>
      <c r="J62" s="22">
        <f t="shared" si="4"/>
        <v>704585131.30188608</v>
      </c>
      <c r="K62" s="22">
        <f>3408000000+150000000+358586292</f>
        <v>3916586292</v>
      </c>
      <c r="L62" s="22">
        <f>320605346+3838000000+299704411+398586292</f>
        <v>4856896049</v>
      </c>
      <c r="M62" s="22">
        <f t="shared" si="5"/>
        <v>940309757</v>
      </c>
      <c r="N62" s="22">
        <f t="shared" si="6"/>
        <v>1201336760.3916352</v>
      </c>
      <c r="O62" s="23">
        <f t="shared" si="7"/>
        <v>261027003.39163518</v>
      </c>
    </row>
    <row r="63" spans="1:15" s="19" customFormat="1" x14ac:dyDescent="0.25">
      <c r="A63" s="29" t="s">
        <v>38</v>
      </c>
      <c r="B63" s="31" t="s">
        <v>41</v>
      </c>
      <c r="C63" s="21">
        <v>18944319.588097475</v>
      </c>
      <c r="D63" s="21">
        <v>525450255.3258968</v>
      </c>
      <c r="E63" s="21">
        <v>26082785.609538324</v>
      </c>
      <c r="F63" s="21">
        <v>1464078556.563858</v>
      </c>
      <c r="G63" s="21">
        <v>4402981</v>
      </c>
      <c r="H63" s="22">
        <v>0</v>
      </c>
      <c r="I63" s="22">
        <v>292815711.19999999</v>
      </c>
      <c r="J63" s="22">
        <f t="shared" si="4"/>
        <v>1192129073.7387171</v>
      </c>
      <c r="K63" s="22">
        <f>4311124+1155000+4001615+972000000+698226865+400672000</f>
        <v>2080366604</v>
      </c>
      <c r="L63" s="22">
        <f>107709574+318992698+40000000+90533594+17655000+61167547+1212000000+1221815685+631201000</f>
        <v>3701075098</v>
      </c>
      <c r="M63" s="22">
        <f t="shared" si="5"/>
        <v>1620708494</v>
      </c>
      <c r="N63" s="22">
        <f t="shared" si="6"/>
        <v>2029339359.8527114</v>
      </c>
      <c r="O63" s="23">
        <f t="shared" si="7"/>
        <v>408630865.85271144</v>
      </c>
    </row>
    <row r="64" spans="1:15" x14ac:dyDescent="0.25">
      <c r="A64" s="29" t="s">
        <v>38</v>
      </c>
      <c r="B64" s="31" t="s">
        <v>42</v>
      </c>
      <c r="C64" s="21">
        <v>0</v>
      </c>
      <c r="D64" s="21">
        <v>145546010.04700798</v>
      </c>
      <c r="E64" s="21">
        <v>0</v>
      </c>
      <c r="F64" s="21">
        <v>384436038.22306913</v>
      </c>
      <c r="G64" s="21">
        <v>0</v>
      </c>
      <c r="H64" s="22">
        <v>0</v>
      </c>
      <c r="I64" s="22">
        <v>76887207.400000006</v>
      </c>
      <c r="J64" s="22">
        <f t="shared" si="4"/>
        <v>307548830.57845533</v>
      </c>
      <c r="K64" s="22">
        <v>2116400000</v>
      </c>
      <c r="L64" s="22">
        <f>145489931+2424000000</f>
        <v>2569489931</v>
      </c>
      <c r="M64" s="22">
        <f t="shared" si="5"/>
        <v>453089931</v>
      </c>
      <c r="N64" s="22">
        <f t="shared" si="6"/>
        <v>529982048.02546334</v>
      </c>
      <c r="O64" s="23">
        <f t="shared" si="7"/>
        <v>76892117.025463343</v>
      </c>
    </row>
    <row r="65" spans="1:15" x14ac:dyDescent="0.25">
      <c r="A65" s="29" t="s">
        <v>38</v>
      </c>
      <c r="B65" s="31" t="s">
        <v>43</v>
      </c>
      <c r="C65" s="21">
        <v>0</v>
      </c>
      <c r="D65" s="21">
        <v>163149913.23948371</v>
      </c>
      <c r="E65" s="21">
        <v>0</v>
      </c>
      <c r="F65" s="21">
        <v>443480595.20607841</v>
      </c>
      <c r="G65" s="21">
        <v>0</v>
      </c>
      <c r="H65" s="22">
        <v>0</v>
      </c>
      <c r="I65" s="22">
        <v>88696118.800000012</v>
      </c>
      <c r="J65" s="22">
        <f t="shared" si="4"/>
        <v>354784476.16486275</v>
      </c>
      <c r="K65" s="22">
        <f>159279283</f>
        <v>159279283</v>
      </c>
      <c r="L65" s="22">
        <f>163149712+189279283</f>
        <v>352428995</v>
      </c>
      <c r="M65" s="22">
        <f t="shared" si="5"/>
        <v>193149712</v>
      </c>
      <c r="N65" s="22">
        <f t="shared" si="6"/>
        <v>606630508.20434642</v>
      </c>
      <c r="O65" s="23">
        <f t="shared" si="7"/>
        <v>413480796.20434642</v>
      </c>
    </row>
    <row r="66" spans="1:15" x14ac:dyDescent="0.25">
      <c r="A66" s="29" t="s">
        <v>38</v>
      </c>
      <c r="B66" s="31" t="s">
        <v>44</v>
      </c>
      <c r="C66" s="21">
        <v>0</v>
      </c>
      <c r="D66" s="21">
        <v>140249531.34735876</v>
      </c>
      <c r="E66" s="21">
        <v>0</v>
      </c>
      <c r="F66" s="21">
        <v>378390900.30233639</v>
      </c>
      <c r="G66" s="21">
        <v>0</v>
      </c>
      <c r="H66" s="22">
        <v>0</v>
      </c>
      <c r="I66" s="22">
        <v>75678179.799999997</v>
      </c>
      <c r="J66" s="22">
        <f t="shared" si="4"/>
        <v>302712720.24186915</v>
      </c>
      <c r="K66" s="22">
        <v>0</v>
      </c>
      <c r="L66" s="22">
        <f>140249505+300000000</f>
        <v>440249505</v>
      </c>
      <c r="M66" s="22">
        <f t="shared" si="5"/>
        <v>440249505</v>
      </c>
      <c r="N66" s="22">
        <f t="shared" si="6"/>
        <v>518640431.38922793</v>
      </c>
      <c r="O66" s="23">
        <f t="shared" si="7"/>
        <v>78390926.389227927</v>
      </c>
    </row>
    <row r="67" spans="1:15" x14ac:dyDescent="0.25">
      <c r="A67" s="29" t="s">
        <v>38</v>
      </c>
      <c r="B67" s="31" t="s">
        <v>160</v>
      </c>
      <c r="C67" s="21">
        <v>0</v>
      </c>
      <c r="D67" s="21">
        <v>66282522.455147721</v>
      </c>
      <c r="E67" s="21">
        <v>0</v>
      </c>
      <c r="F67" s="21">
        <v>180173512.36152226</v>
      </c>
      <c r="G67" s="21">
        <v>0</v>
      </c>
      <c r="H67" s="22">
        <v>0</v>
      </c>
      <c r="I67" s="22">
        <v>36034702.200000003</v>
      </c>
      <c r="J67" s="22">
        <f t="shared" si="4"/>
        <v>144138809.88921782</v>
      </c>
      <c r="K67" s="22">
        <v>946380000</v>
      </c>
      <c r="L67" s="22">
        <f>65000000+1090800000</f>
        <v>1155800000</v>
      </c>
      <c r="M67" s="22">
        <f t="shared" si="5"/>
        <v>209420000</v>
      </c>
      <c r="N67" s="22">
        <f t="shared" si="6"/>
        <v>246456034.54436556</v>
      </c>
      <c r="O67" s="23">
        <f t="shared" si="7"/>
        <v>37036034.544365555</v>
      </c>
    </row>
    <row r="68" spans="1:15" x14ac:dyDescent="0.25">
      <c r="A68" s="29" t="s">
        <v>38</v>
      </c>
      <c r="B68" s="31" t="s">
        <v>46</v>
      </c>
      <c r="C68" s="21">
        <v>0</v>
      </c>
      <c r="D68" s="21">
        <v>514003357.73647809</v>
      </c>
      <c r="E68" s="21">
        <v>0</v>
      </c>
      <c r="F68" s="21">
        <v>1401730172.4243686</v>
      </c>
      <c r="G68" s="21">
        <v>0</v>
      </c>
      <c r="H68" s="22">
        <v>0</v>
      </c>
      <c r="I68" s="22">
        <v>280346034.20000005</v>
      </c>
      <c r="J68" s="22">
        <f t="shared" ref="J68:J99" si="8">(E68+F68)*80%</f>
        <v>1121384137.9394948</v>
      </c>
      <c r="K68" s="22">
        <f>141132756</f>
        <v>141132756</v>
      </c>
      <c r="L68" s="22">
        <f>45500000+161132756</f>
        <v>206632756</v>
      </c>
      <c r="M68" s="22">
        <f t="shared" ref="M68:M99" si="9">L68-K68</f>
        <v>65500000</v>
      </c>
      <c r="N68" s="22">
        <f t="shared" ref="N68:N99" si="10">C68+D68+H68+I68+J68</f>
        <v>1915733529.875973</v>
      </c>
      <c r="O68" s="23">
        <f t="shared" ref="O68:O99" si="11">N68-M68</f>
        <v>1850233529.875973</v>
      </c>
    </row>
    <row r="69" spans="1:15" x14ac:dyDescent="0.25">
      <c r="A69" s="29" t="s">
        <v>90</v>
      </c>
      <c r="B69" s="31" t="s">
        <v>91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2">
        <v>0</v>
      </c>
      <c r="I69" s="22">
        <v>0</v>
      </c>
      <c r="J69" s="22">
        <f t="shared" si="8"/>
        <v>0</v>
      </c>
      <c r="K69" s="22">
        <v>0</v>
      </c>
      <c r="L69" s="22">
        <v>0</v>
      </c>
      <c r="M69" s="22">
        <f t="shared" si="9"/>
        <v>0</v>
      </c>
      <c r="N69" s="22">
        <f t="shared" si="10"/>
        <v>0</v>
      </c>
      <c r="O69" s="23">
        <f t="shared" si="11"/>
        <v>0</v>
      </c>
    </row>
    <row r="70" spans="1:15" x14ac:dyDescent="0.25">
      <c r="A70" s="29" t="s">
        <v>90</v>
      </c>
      <c r="B70" s="31" t="s">
        <v>92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2">
        <v>0</v>
      </c>
      <c r="I70" s="22">
        <v>0</v>
      </c>
      <c r="J70" s="22">
        <f t="shared" si="8"/>
        <v>0</v>
      </c>
      <c r="K70" s="22">
        <v>0</v>
      </c>
      <c r="L70" s="22">
        <v>0</v>
      </c>
      <c r="M70" s="22">
        <f t="shared" si="9"/>
        <v>0</v>
      </c>
      <c r="N70" s="22">
        <f t="shared" si="10"/>
        <v>0</v>
      </c>
      <c r="O70" s="23">
        <f t="shared" si="11"/>
        <v>0</v>
      </c>
    </row>
    <row r="71" spans="1:15" x14ac:dyDescent="0.25">
      <c r="A71" s="29" t="s">
        <v>90</v>
      </c>
      <c r="B71" s="31" t="s">
        <v>93</v>
      </c>
      <c r="C71" s="21">
        <v>58014873.180710696</v>
      </c>
      <c r="D71" s="21">
        <v>370832072.30516678</v>
      </c>
      <c r="E71" s="21">
        <v>48152784.867322236</v>
      </c>
      <c r="F71" s="21">
        <v>1045014000.6255555</v>
      </c>
      <c r="G71" s="21">
        <v>22796109</v>
      </c>
      <c r="H71" s="22">
        <v>0</v>
      </c>
      <c r="I71" s="22">
        <v>209002799.80000001</v>
      </c>
      <c r="J71" s="22">
        <f t="shared" si="8"/>
        <v>874533428.39430225</v>
      </c>
      <c r="K71" s="22">
        <v>0</v>
      </c>
      <c r="L71" s="22">
        <f>139964006</f>
        <v>139964006</v>
      </c>
      <c r="M71" s="22">
        <f t="shared" si="9"/>
        <v>139964006</v>
      </c>
      <c r="N71" s="22">
        <f t="shared" si="10"/>
        <v>1512383173.6801796</v>
      </c>
      <c r="O71" s="23">
        <f t="shared" si="11"/>
        <v>1372419167.6801796</v>
      </c>
    </row>
    <row r="72" spans="1:15" x14ac:dyDescent="0.25">
      <c r="A72" s="29" t="s">
        <v>90</v>
      </c>
      <c r="B72" s="31" t="s">
        <v>94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2">
        <v>0</v>
      </c>
      <c r="I72" s="22">
        <v>0</v>
      </c>
      <c r="J72" s="22">
        <f t="shared" si="8"/>
        <v>0</v>
      </c>
      <c r="K72" s="22">
        <v>0</v>
      </c>
      <c r="L72" s="22">
        <v>0</v>
      </c>
      <c r="M72" s="22">
        <f t="shared" si="9"/>
        <v>0</v>
      </c>
      <c r="N72" s="22">
        <f t="shared" si="10"/>
        <v>0</v>
      </c>
      <c r="O72" s="23">
        <f t="shared" si="11"/>
        <v>0</v>
      </c>
    </row>
    <row r="73" spans="1:15" x14ac:dyDescent="0.25">
      <c r="A73" s="29" t="s">
        <v>90</v>
      </c>
      <c r="B73" s="31" t="s">
        <v>95</v>
      </c>
      <c r="C73" s="21">
        <v>0</v>
      </c>
      <c r="D73" s="21">
        <v>338888151.19699639</v>
      </c>
      <c r="E73" s="21">
        <v>0</v>
      </c>
      <c r="F73" s="21">
        <v>961816680.06572676</v>
      </c>
      <c r="G73" s="21">
        <v>0</v>
      </c>
      <c r="H73" s="22">
        <v>0</v>
      </c>
      <c r="I73" s="22">
        <v>192363335.80000001</v>
      </c>
      <c r="J73" s="22">
        <f t="shared" si="8"/>
        <v>769453344.05258143</v>
      </c>
      <c r="K73" s="22">
        <f>388234747</f>
        <v>388234747</v>
      </c>
      <c r="L73" s="22">
        <f>1496522898</f>
        <v>1496522898</v>
      </c>
      <c r="M73" s="22">
        <f t="shared" si="9"/>
        <v>1108288151</v>
      </c>
      <c r="N73" s="22">
        <f t="shared" si="10"/>
        <v>1300704831.0495777</v>
      </c>
      <c r="O73" s="23">
        <f t="shared" si="11"/>
        <v>192416680.04957771</v>
      </c>
    </row>
    <row r="74" spans="1:15" x14ac:dyDescent="0.25">
      <c r="A74" s="29" t="s">
        <v>90</v>
      </c>
      <c r="B74" s="31" t="s">
        <v>96</v>
      </c>
      <c r="C74" s="21">
        <v>555785454.03548932</v>
      </c>
      <c r="D74" s="21">
        <v>305985763.74072182</v>
      </c>
      <c r="E74" s="21">
        <v>229357893.36679724</v>
      </c>
      <c r="F74" s="21">
        <v>860144937.36230385</v>
      </c>
      <c r="G74" s="21">
        <v>399699909</v>
      </c>
      <c r="H74" s="22">
        <v>45871578.400000006</v>
      </c>
      <c r="I74" s="22">
        <v>172028987.40000001</v>
      </c>
      <c r="J74" s="22">
        <f t="shared" si="8"/>
        <v>871602264.58328104</v>
      </c>
      <c r="K74" s="22">
        <v>0</v>
      </c>
      <c r="L74" s="22">
        <f>1017016429+267059366+360664695</f>
        <v>1644740490</v>
      </c>
      <c r="M74" s="22">
        <f t="shared" si="9"/>
        <v>1644740490</v>
      </c>
      <c r="N74" s="22">
        <f t="shared" si="10"/>
        <v>1951274048.1594923</v>
      </c>
      <c r="O74" s="23">
        <f t="shared" si="11"/>
        <v>306533558.15949225</v>
      </c>
    </row>
    <row r="75" spans="1:15" x14ac:dyDescent="0.25">
      <c r="A75" s="29" t="s">
        <v>90</v>
      </c>
      <c r="B75" s="31" t="s">
        <v>97</v>
      </c>
      <c r="C75" s="21">
        <v>0</v>
      </c>
      <c r="D75" s="21">
        <v>352237475.26635021</v>
      </c>
      <c r="E75" s="21">
        <v>0</v>
      </c>
      <c r="F75" s="21">
        <v>995015435.61536467</v>
      </c>
      <c r="G75" s="21">
        <v>0</v>
      </c>
      <c r="H75" s="22">
        <v>0</v>
      </c>
      <c r="I75" s="22">
        <v>199003087</v>
      </c>
      <c r="J75" s="22">
        <f t="shared" si="8"/>
        <v>796012348.49229181</v>
      </c>
      <c r="K75" s="22">
        <v>62059021</v>
      </c>
      <c r="L75" s="22">
        <f>414059020+570099929</f>
        <v>984158949</v>
      </c>
      <c r="M75" s="22">
        <f t="shared" si="9"/>
        <v>922099928</v>
      </c>
      <c r="N75" s="22">
        <f t="shared" si="10"/>
        <v>1347252910.7586422</v>
      </c>
      <c r="O75" s="23">
        <f t="shared" si="11"/>
        <v>425152982.7586422</v>
      </c>
    </row>
    <row r="76" spans="1:15" x14ac:dyDescent="0.25">
      <c r="A76" s="29" t="s">
        <v>90</v>
      </c>
      <c r="B76" s="31" t="s">
        <v>98</v>
      </c>
      <c r="C76" s="21">
        <v>47024.875</v>
      </c>
      <c r="D76" s="21">
        <v>402033820.8899098</v>
      </c>
      <c r="E76" s="21">
        <v>88383.581502021552</v>
      </c>
      <c r="F76" s="21">
        <v>1138462709.6936157</v>
      </c>
      <c r="G76" s="21">
        <v>0</v>
      </c>
      <c r="H76" s="22">
        <v>17676.400000000001</v>
      </c>
      <c r="I76" s="22">
        <v>227692541.80000001</v>
      </c>
      <c r="J76" s="22">
        <f t="shared" si="8"/>
        <v>910840874.62009418</v>
      </c>
      <c r="K76" s="22">
        <f>145206383</f>
        <v>145206383</v>
      </c>
      <c r="L76" s="22">
        <f>206031174</f>
        <v>206031174</v>
      </c>
      <c r="M76" s="22">
        <f t="shared" si="9"/>
        <v>60824791</v>
      </c>
      <c r="N76" s="22">
        <f t="shared" si="10"/>
        <v>1540631938.5850039</v>
      </c>
      <c r="O76" s="23">
        <f t="shared" si="11"/>
        <v>1479807147.5850039</v>
      </c>
    </row>
    <row r="77" spans="1:15" x14ac:dyDescent="0.25">
      <c r="A77" s="29" t="s">
        <v>90</v>
      </c>
      <c r="B77" s="31" t="s">
        <v>99</v>
      </c>
      <c r="C77" s="21">
        <v>0</v>
      </c>
      <c r="D77" s="21">
        <v>383997439.74300468</v>
      </c>
      <c r="E77" s="21">
        <v>0</v>
      </c>
      <c r="F77" s="21">
        <v>1068881822.7820569</v>
      </c>
      <c r="G77" s="21">
        <v>0</v>
      </c>
      <c r="H77" s="22">
        <v>0</v>
      </c>
      <c r="I77" s="22">
        <v>213776364.39999998</v>
      </c>
      <c r="J77" s="22">
        <f t="shared" si="8"/>
        <v>855105458.22564554</v>
      </c>
      <c r="K77" s="22">
        <f>113810606</f>
        <v>113810606</v>
      </c>
      <c r="L77" s="22">
        <f>244819873+126759000+293437088+161132756</f>
        <v>826148717</v>
      </c>
      <c r="M77" s="22">
        <f t="shared" si="9"/>
        <v>712338111</v>
      </c>
      <c r="N77" s="22">
        <f t="shared" si="10"/>
        <v>1452879262.3686502</v>
      </c>
      <c r="O77" s="23">
        <f t="shared" si="11"/>
        <v>740541151.3686502</v>
      </c>
    </row>
    <row r="78" spans="1:15" x14ac:dyDescent="0.25">
      <c r="A78" s="29" t="s">
        <v>90</v>
      </c>
      <c r="B78" s="31" t="s">
        <v>157</v>
      </c>
      <c r="C78" s="21">
        <v>630.64185519359705</v>
      </c>
      <c r="D78" s="21">
        <v>0</v>
      </c>
      <c r="E78" s="21">
        <v>0</v>
      </c>
      <c r="F78" s="21">
        <v>0</v>
      </c>
      <c r="G78" s="21">
        <v>0</v>
      </c>
      <c r="H78" s="22">
        <v>0</v>
      </c>
      <c r="I78" s="22">
        <v>0</v>
      </c>
      <c r="J78" s="22">
        <f t="shared" si="8"/>
        <v>0</v>
      </c>
      <c r="K78" s="22">
        <v>0</v>
      </c>
      <c r="L78" s="22">
        <v>0</v>
      </c>
      <c r="M78" s="22">
        <f t="shared" si="9"/>
        <v>0</v>
      </c>
      <c r="N78" s="22">
        <f t="shared" si="10"/>
        <v>630.64185519359705</v>
      </c>
      <c r="O78" s="23">
        <f t="shared" si="11"/>
        <v>630.64185519359705</v>
      </c>
    </row>
    <row r="79" spans="1:15" x14ac:dyDescent="0.25">
      <c r="A79" s="29" t="s">
        <v>56</v>
      </c>
      <c r="B79" s="31" t="s">
        <v>57</v>
      </c>
      <c r="C79" s="21">
        <v>0</v>
      </c>
      <c r="D79" s="21">
        <v>296362758.5264942</v>
      </c>
      <c r="E79" s="21">
        <v>0</v>
      </c>
      <c r="F79" s="21">
        <v>839271666.7293278</v>
      </c>
      <c r="G79" s="21">
        <v>0</v>
      </c>
      <c r="H79" s="22">
        <v>0</v>
      </c>
      <c r="I79" s="22">
        <v>167854333.20000005</v>
      </c>
      <c r="J79" s="22">
        <f t="shared" si="8"/>
        <v>671417333.38346231</v>
      </c>
      <c r="K79" s="22">
        <v>0</v>
      </c>
      <c r="L79" s="22">
        <f>125000000</f>
        <v>125000000</v>
      </c>
      <c r="M79" s="22">
        <f t="shared" si="9"/>
        <v>125000000</v>
      </c>
      <c r="N79" s="22">
        <f t="shared" si="10"/>
        <v>1135634425.1099565</v>
      </c>
      <c r="O79" s="23">
        <f t="shared" si="11"/>
        <v>1010634425.1099565</v>
      </c>
    </row>
    <row r="80" spans="1:15" x14ac:dyDescent="0.25">
      <c r="A80" s="29" t="s">
        <v>56</v>
      </c>
      <c r="B80" s="31" t="s">
        <v>58</v>
      </c>
      <c r="C80" s="21">
        <v>0</v>
      </c>
      <c r="D80" s="21">
        <v>405808648.93562204</v>
      </c>
      <c r="E80" s="21">
        <v>0</v>
      </c>
      <c r="F80" s="21">
        <v>1146966981.5555162</v>
      </c>
      <c r="G80" s="21">
        <v>0</v>
      </c>
      <c r="H80" s="22">
        <v>0</v>
      </c>
      <c r="I80" s="22">
        <v>229393396.20000002</v>
      </c>
      <c r="J80" s="22">
        <f t="shared" si="8"/>
        <v>917573585.24441302</v>
      </c>
      <c r="K80" s="22">
        <v>0</v>
      </c>
      <c r="L80" s="22">
        <v>0</v>
      </c>
      <c r="M80" s="22">
        <f t="shared" si="9"/>
        <v>0</v>
      </c>
      <c r="N80" s="22">
        <f t="shared" si="10"/>
        <v>1552775630.3800349</v>
      </c>
      <c r="O80" s="23">
        <f t="shared" si="11"/>
        <v>1552775630.3800349</v>
      </c>
    </row>
    <row r="81" spans="1:15" x14ac:dyDescent="0.25">
      <c r="A81" s="29" t="s">
        <v>56</v>
      </c>
      <c r="B81" s="31" t="s">
        <v>59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2">
        <v>0</v>
      </c>
      <c r="I81" s="22">
        <v>0</v>
      </c>
      <c r="J81" s="22">
        <f t="shared" si="8"/>
        <v>0</v>
      </c>
      <c r="K81" s="22">
        <v>0</v>
      </c>
      <c r="L81" s="22">
        <v>0</v>
      </c>
      <c r="M81" s="22">
        <f t="shared" si="9"/>
        <v>0</v>
      </c>
      <c r="N81" s="22">
        <f t="shared" si="10"/>
        <v>0</v>
      </c>
      <c r="O81" s="23">
        <f t="shared" si="11"/>
        <v>0</v>
      </c>
    </row>
    <row r="82" spans="1:15" x14ac:dyDescent="0.25">
      <c r="A82" s="29" t="s">
        <v>56</v>
      </c>
      <c r="B82" s="31" t="s">
        <v>60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2">
        <v>0</v>
      </c>
      <c r="I82" s="22">
        <v>0</v>
      </c>
      <c r="J82" s="22">
        <f t="shared" si="8"/>
        <v>0</v>
      </c>
      <c r="K82" s="22">
        <v>0</v>
      </c>
      <c r="L82" s="22">
        <v>0</v>
      </c>
      <c r="M82" s="22">
        <f t="shared" si="9"/>
        <v>0</v>
      </c>
      <c r="N82" s="22">
        <f t="shared" si="10"/>
        <v>0</v>
      </c>
      <c r="O82" s="23">
        <f t="shared" si="11"/>
        <v>0</v>
      </c>
    </row>
    <row r="83" spans="1:15" x14ac:dyDescent="0.25">
      <c r="A83" s="29" t="s">
        <v>56</v>
      </c>
      <c r="B83" s="31" t="s">
        <v>61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2">
        <v>0</v>
      </c>
      <c r="I83" s="22">
        <v>0</v>
      </c>
      <c r="J83" s="22">
        <f t="shared" si="8"/>
        <v>0</v>
      </c>
      <c r="K83" s="22">
        <v>0</v>
      </c>
      <c r="L83" s="22">
        <v>0</v>
      </c>
      <c r="M83" s="22">
        <f t="shared" si="9"/>
        <v>0</v>
      </c>
      <c r="N83" s="22">
        <f t="shared" si="10"/>
        <v>0</v>
      </c>
      <c r="O83" s="23">
        <f t="shared" si="11"/>
        <v>0</v>
      </c>
    </row>
    <row r="84" spans="1:15" x14ac:dyDescent="0.25">
      <c r="A84" s="29" t="s">
        <v>56</v>
      </c>
      <c r="B84" s="31" t="s">
        <v>62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2">
        <v>0</v>
      </c>
      <c r="I84" s="22">
        <v>0</v>
      </c>
      <c r="J84" s="22">
        <f t="shared" si="8"/>
        <v>0</v>
      </c>
      <c r="K84" s="22">
        <v>0</v>
      </c>
      <c r="L84" s="22">
        <v>0</v>
      </c>
      <c r="M84" s="22">
        <f t="shared" si="9"/>
        <v>0</v>
      </c>
      <c r="N84" s="22">
        <f t="shared" si="10"/>
        <v>0</v>
      </c>
      <c r="O84" s="23">
        <f t="shared" si="11"/>
        <v>0</v>
      </c>
    </row>
    <row r="85" spans="1:15" x14ac:dyDescent="0.25">
      <c r="A85" s="29" t="s">
        <v>56</v>
      </c>
      <c r="B85" s="31" t="s">
        <v>63</v>
      </c>
      <c r="C85" s="21">
        <v>1931002.4626815447</v>
      </c>
      <c r="D85" s="21">
        <v>312059735.13603753</v>
      </c>
      <c r="E85" s="21">
        <v>5002765.8156373231</v>
      </c>
      <c r="F85" s="21">
        <v>879865444.30303168</v>
      </c>
      <c r="G85" s="21">
        <v>0</v>
      </c>
      <c r="H85" s="22">
        <v>1000553</v>
      </c>
      <c r="I85" s="22">
        <v>175973088.59999999</v>
      </c>
      <c r="J85" s="22">
        <f t="shared" si="8"/>
        <v>707894568.0949353</v>
      </c>
      <c r="K85" s="22">
        <v>0</v>
      </c>
      <c r="L85" s="22">
        <f>215700000</f>
        <v>215700000</v>
      </c>
      <c r="M85" s="22">
        <f t="shared" si="9"/>
        <v>215700000</v>
      </c>
      <c r="N85" s="22">
        <f t="shared" si="10"/>
        <v>1198858947.2936544</v>
      </c>
      <c r="O85" s="23">
        <f t="shared" si="11"/>
        <v>983158947.29365444</v>
      </c>
    </row>
    <row r="86" spans="1:15" x14ac:dyDescent="0.25">
      <c r="A86" s="29" t="s">
        <v>56</v>
      </c>
      <c r="B86" s="31" t="s">
        <v>64</v>
      </c>
      <c r="C86" s="21">
        <v>0</v>
      </c>
      <c r="D86" s="21">
        <v>229370390.89332244</v>
      </c>
      <c r="E86" s="21">
        <v>0</v>
      </c>
      <c r="F86" s="21">
        <v>641189236.63622606</v>
      </c>
      <c r="G86" s="21">
        <v>0</v>
      </c>
      <c r="H86" s="22">
        <v>0</v>
      </c>
      <c r="I86" s="22">
        <v>128237847.19999999</v>
      </c>
      <c r="J86" s="22">
        <f t="shared" si="8"/>
        <v>512951389.30898088</v>
      </c>
      <c r="K86" s="22">
        <f>113810606</f>
        <v>113810606</v>
      </c>
      <c r="L86" s="22">
        <f>161132756</f>
        <v>161132756</v>
      </c>
      <c r="M86" s="22">
        <f t="shared" si="9"/>
        <v>47322150</v>
      </c>
      <c r="N86" s="22">
        <f t="shared" si="10"/>
        <v>870559627.40230322</v>
      </c>
      <c r="O86" s="23">
        <f t="shared" si="11"/>
        <v>823237477.40230322</v>
      </c>
    </row>
    <row r="87" spans="1:15" x14ac:dyDescent="0.25">
      <c r="A87" s="29" t="s">
        <v>56</v>
      </c>
      <c r="B87" s="31" t="s">
        <v>100</v>
      </c>
      <c r="C87" s="21">
        <v>1160311115.6674049</v>
      </c>
      <c r="D87" s="21">
        <v>0</v>
      </c>
      <c r="E87" s="21">
        <v>410388634.86026967</v>
      </c>
      <c r="F87" s="21">
        <v>0</v>
      </c>
      <c r="G87" s="21">
        <v>909620933</v>
      </c>
      <c r="H87" s="22">
        <v>82077726.800000012</v>
      </c>
      <c r="I87" s="22">
        <v>0</v>
      </c>
      <c r="J87" s="22">
        <f t="shared" si="8"/>
        <v>328310907.88821578</v>
      </c>
      <c r="K87" s="22">
        <v>0</v>
      </c>
      <c r="L87" s="22">
        <f>600000000+780000000</f>
        <v>1380000000</v>
      </c>
      <c r="M87" s="22">
        <f t="shared" si="9"/>
        <v>1380000000</v>
      </c>
      <c r="N87" s="22">
        <f t="shared" si="10"/>
        <v>1570699750.3556206</v>
      </c>
      <c r="O87" s="23">
        <f t="shared" si="11"/>
        <v>190699750.35562062</v>
      </c>
    </row>
    <row r="88" spans="1:15" x14ac:dyDescent="0.25">
      <c r="A88" s="29" t="s">
        <v>174</v>
      </c>
      <c r="B88" s="31" t="s">
        <v>67</v>
      </c>
      <c r="C88" s="21">
        <v>0</v>
      </c>
      <c r="D88" s="21">
        <v>564760500.76793325</v>
      </c>
      <c r="E88" s="21">
        <v>0</v>
      </c>
      <c r="F88" s="21">
        <v>1589800891.2663257</v>
      </c>
      <c r="G88" s="21">
        <v>0</v>
      </c>
      <c r="H88" s="22">
        <v>0</v>
      </c>
      <c r="I88" s="22">
        <v>317960178</v>
      </c>
      <c r="J88" s="22">
        <f t="shared" si="8"/>
        <v>1271840713.0130606</v>
      </c>
      <c r="K88" s="22">
        <v>0</v>
      </c>
      <c r="L88" s="22">
        <v>1229806885</v>
      </c>
      <c r="M88" s="22">
        <f t="shared" si="9"/>
        <v>1229806885</v>
      </c>
      <c r="N88" s="22">
        <f t="shared" si="10"/>
        <v>2154561391.7809939</v>
      </c>
      <c r="O88" s="23">
        <f t="shared" si="11"/>
        <v>924754506.78099394</v>
      </c>
    </row>
    <row r="89" spans="1:15" x14ac:dyDescent="0.25">
      <c r="A89" s="29" t="s">
        <v>174</v>
      </c>
      <c r="B89" s="31" t="s">
        <v>66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2">
        <v>0</v>
      </c>
      <c r="I89" s="22">
        <v>0</v>
      </c>
      <c r="J89" s="22">
        <f t="shared" si="8"/>
        <v>0</v>
      </c>
      <c r="K89" s="22">
        <v>0</v>
      </c>
      <c r="L89" s="22">
        <v>0</v>
      </c>
      <c r="M89" s="22">
        <f t="shared" si="9"/>
        <v>0</v>
      </c>
      <c r="N89" s="22">
        <f t="shared" si="10"/>
        <v>0</v>
      </c>
      <c r="O89" s="23">
        <f t="shared" si="11"/>
        <v>0</v>
      </c>
    </row>
    <row r="90" spans="1:15" x14ac:dyDescent="0.25">
      <c r="A90" s="29" t="s">
        <v>101</v>
      </c>
      <c r="B90" s="31" t="s">
        <v>147</v>
      </c>
      <c r="C90" s="21">
        <v>0</v>
      </c>
      <c r="D90" s="21">
        <v>345656447.34867781</v>
      </c>
      <c r="E90" s="21">
        <v>0</v>
      </c>
      <c r="F90" s="21">
        <v>960141098.93641782</v>
      </c>
      <c r="G90" s="21">
        <v>0</v>
      </c>
      <c r="H90" s="22">
        <v>0</v>
      </c>
      <c r="I90" s="22">
        <v>192028219.60000002</v>
      </c>
      <c r="J90" s="22">
        <f t="shared" si="8"/>
        <v>768112879.14913428</v>
      </c>
      <c r="K90" s="22">
        <v>0</v>
      </c>
      <c r="L90" s="22">
        <v>0</v>
      </c>
      <c r="M90" s="22">
        <f t="shared" si="9"/>
        <v>0</v>
      </c>
      <c r="N90" s="22">
        <f t="shared" si="10"/>
        <v>1305797546.0978122</v>
      </c>
      <c r="O90" s="23">
        <f t="shared" si="11"/>
        <v>1305797546.0978122</v>
      </c>
    </row>
    <row r="91" spans="1:15" x14ac:dyDescent="0.25">
      <c r="A91" s="29" t="s">
        <v>101</v>
      </c>
      <c r="B91" s="31" t="s">
        <v>103</v>
      </c>
      <c r="C91" s="21">
        <v>0</v>
      </c>
      <c r="D91" s="21">
        <v>139606606.18728572</v>
      </c>
      <c r="E91" s="21">
        <v>0</v>
      </c>
      <c r="F91" s="21">
        <v>376336419.47498959</v>
      </c>
      <c r="G91" s="21">
        <v>0</v>
      </c>
      <c r="H91" s="22">
        <v>0</v>
      </c>
      <c r="I91" s="22">
        <v>75267283.600000009</v>
      </c>
      <c r="J91" s="22">
        <f t="shared" si="8"/>
        <v>301069135.5799917</v>
      </c>
      <c r="K91" s="22">
        <v>0</v>
      </c>
      <c r="L91" s="22">
        <f>52100000+87500000+300546756</f>
        <v>440146756</v>
      </c>
      <c r="M91" s="22">
        <f t="shared" si="9"/>
        <v>440146756</v>
      </c>
      <c r="N91" s="22">
        <f t="shared" si="10"/>
        <v>515943025.36727744</v>
      </c>
      <c r="O91" s="23">
        <f t="shared" si="11"/>
        <v>75796269.367277443</v>
      </c>
    </row>
    <row r="92" spans="1:15" x14ac:dyDescent="0.25">
      <c r="A92" s="29" t="s">
        <v>101</v>
      </c>
      <c r="B92" s="31" t="s">
        <v>104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2">
        <v>0</v>
      </c>
      <c r="I92" s="22">
        <v>0</v>
      </c>
      <c r="J92" s="22">
        <f t="shared" si="8"/>
        <v>0</v>
      </c>
      <c r="K92" s="22">
        <v>0</v>
      </c>
      <c r="L92" s="22">
        <v>0</v>
      </c>
      <c r="M92" s="22">
        <f t="shared" si="9"/>
        <v>0</v>
      </c>
      <c r="N92" s="22">
        <f t="shared" si="10"/>
        <v>0</v>
      </c>
      <c r="O92" s="23">
        <f t="shared" si="11"/>
        <v>0</v>
      </c>
    </row>
    <row r="93" spans="1:15" x14ac:dyDescent="0.25">
      <c r="A93" s="29" t="s">
        <v>101</v>
      </c>
      <c r="B93" s="31" t="s">
        <v>105</v>
      </c>
      <c r="C93" s="21">
        <v>0</v>
      </c>
      <c r="D93" s="21">
        <v>238233688.82137182</v>
      </c>
      <c r="E93" s="21">
        <v>0</v>
      </c>
      <c r="F93" s="21">
        <v>673785569.66973019</v>
      </c>
      <c r="G93" s="21">
        <v>0</v>
      </c>
      <c r="H93" s="22">
        <v>0</v>
      </c>
      <c r="I93" s="22">
        <v>134757113.80000001</v>
      </c>
      <c r="J93" s="22">
        <f t="shared" si="8"/>
        <v>539028455.73578417</v>
      </c>
      <c r="K93" s="22">
        <v>0</v>
      </c>
      <c r="L93" s="22">
        <f>238225488+539036656</f>
        <v>777262144</v>
      </c>
      <c r="M93" s="22">
        <f t="shared" si="9"/>
        <v>777262144</v>
      </c>
      <c r="N93" s="22">
        <f t="shared" si="10"/>
        <v>912019258.35715604</v>
      </c>
      <c r="O93" s="23">
        <f t="shared" si="11"/>
        <v>134757114.35715604</v>
      </c>
    </row>
    <row r="94" spans="1:15" x14ac:dyDescent="0.25">
      <c r="A94" s="29" t="s">
        <v>101</v>
      </c>
      <c r="B94" s="31" t="s">
        <v>106</v>
      </c>
      <c r="C94" s="21">
        <v>0</v>
      </c>
      <c r="D94" s="21">
        <v>171293631.93374205</v>
      </c>
      <c r="E94" s="21">
        <v>0</v>
      </c>
      <c r="F94" s="21">
        <v>467311929.64807123</v>
      </c>
      <c r="G94" s="21">
        <v>0</v>
      </c>
      <c r="H94" s="22">
        <v>0</v>
      </c>
      <c r="I94" s="22">
        <v>93462385.799999997</v>
      </c>
      <c r="J94" s="22">
        <f t="shared" si="8"/>
        <v>373849543.71845698</v>
      </c>
      <c r="K94" s="22">
        <v>688000000</v>
      </c>
      <c r="L94" s="22">
        <f>171292290+808000000</f>
        <v>979292290</v>
      </c>
      <c r="M94" s="22">
        <f t="shared" si="9"/>
        <v>291292290</v>
      </c>
      <c r="N94" s="22">
        <f t="shared" si="10"/>
        <v>638605561.45219898</v>
      </c>
      <c r="O94" s="23">
        <f t="shared" si="11"/>
        <v>347313271.45219898</v>
      </c>
    </row>
    <row r="95" spans="1:15" x14ac:dyDescent="0.25">
      <c r="A95" s="29" t="s">
        <v>101</v>
      </c>
      <c r="B95" s="31" t="s">
        <v>107</v>
      </c>
      <c r="C95" s="21">
        <v>0</v>
      </c>
      <c r="D95" s="21">
        <v>346096671.91495544</v>
      </c>
      <c r="E95" s="21">
        <v>0</v>
      </c>
      <c r="F95" s="21">
        <v>965702272.7888242</v>
      </c>
      <c r="G95" s="21">
        <v>0</v>
      </c>
      <c r="H95" s="22">
        <v>0</v>
      </c>
      <c r="I95" s="22">
        <v>193140454.40000001</v>
      </c>
      <c r="J95" s="22">
        <f t="shared" si="8"/>
        <v>772561818.23105943</v>
      </c>
      <c r="K95" s="22">
        <v>1032000000</v>
      </c>
      <c r="L95" s="22">
        <f>1212000000+144938910+133422989</f>
        <v>1490361899</v>
      </c>
      <c r="M95" s="22">
        <f t="shared" si="9"/>
        <v>458361899</v>
      </c>
      <c r="N95" s="22">
        <f t="shared" si="10"/>
        <v>1311798944.5460148</v>
      </c>
      <c r="O95" s="23">
        <f t="shared" si="11"/>
        <v>853437045.54601479</v>
      </c>
    </row>
    <row r="96" spans="1:15" x14ac:dyDescent="0.25">
      <c r="A96" s="29" t="s">
        <v>101</v>
      </c>
      <c r="B96" s="31" t="s">
        <v>108</v>
      </c>
      <c r="C96" s="21">
        <v>0</v>
      </c>
      <c r="D96" s="21">
        <v>326900170.28238273</v>
      </c>
      <c r="E96" s="21">
        <v>0</v>
      </c>
      <c r="F96" s="21">
        <v>907632549.57439983</v>
      </c>
      <c r="G96" s="21">
        <v>0</v>
      </c>
      <c r="H96" s="22">
        <v>0</v>
      </c>
      <c r="I96" s="22">
        <v>181526509.79999998</v>
      </c>
      <c r="J96" s="22">
        <f t="shared" si="8"/>
        <v>726106039.65951991</v>
      </c>
      <c r="K96" s="22">
        <v>1944000000</v>
      </c>
      <c r="L96" s="22">
        <f>214857334+112117140+2424000000</f>
        <v>2750974474</v>
      </c>
      <c r="M96" s="22">
        <f t="shared" si="9"/>
        <v>806974474</v>
      </c>
      <c r="N96" s="22">
        <f t="shared" si="10"/>
        <v>1234532719.7419026</v>
      </c>
      <c r="O96" s="23">
        <f t="shared" si="11"/>
        <v>427558245.74190259</v>
      </c>
    </row>
    <row r="97" spans="1:16" x14ac:dyDescent="0.25">
      <c r="A97" s="29" t="s">
        <v>101</v>
      </c>
      <c r="B97" s="31" t="s">
        <v>109</v>
      </c>
      <c r="C97" s="21">
        <v>0</v>
      </c>
      <c r="D97" s="21">
        <v>486412397.68097776</v>
      </c>
      <c r="E97" s="21">
        <v>0</v>
      </c>
      <c r="F97" s="21">
        <v>1349210678.436877</v>
      </c>
      <c r="G97" s="21">
        <v>0</v>
      </c>
      <c r="H97" s="22">
        <v>0</v>
      </c>
      <c r="I97" s="22">
        <v>269842135.40000004</v>
      </c>
      <c r="J97" s="22">
        <f t="shared" si="8"/>
        <v>1079368542.7495017</v>
      </c>
      <c r="K97" s="22">
        <f>650550000+1264400000+113810606+1158787285+288000000</f>
        <v>3475547891</v>
      </c>
      <c r="L97" s="22">
        <f>770550000+1555400000+161132756+1218787285+360000000</f>
        <v>4065870041</v>
      </c>
      <c r="M97" s="22">
        <f t="shared" si="9"/>
        <v>590322150</v>
      </c>
      <c r="N97" s="22">
        <f t="shared" si="10"/>
        <v>1835623075.8304796</v>
      </c>
      <c r="O97" s="23">
        <f t="shared" si="11"/>
        <v>1245300925.8304796</v>
      </c>
    </row>
    <row r="98" spans="1:16" x14ac:dyDescent="0.25">
      <c r="A98" s="29" t="s">
        <v>101</v>
      </c>
      <c r="B98" s="31" t="s">
        <v>110</v>
      </c>
      <c r="C98" s="21">
        <v>0</v>
      </c>
      <c r="D98" s="21">
        <v>147750324.88154405</v>
      </c>
      <c r="E98" s="21">
        <v>0</v>
      </c>
      <c r="F98" s="21">
        <v>400911329.89334965</v>
      </c>
      <c r="G98" s="21">
        <v>0</v>
      </c>
      <c r="H98" s="22">
        <v>0</v>
      </c>
      <c r="I98" s="22">
        <v>80182265.799999997</v>
      </c>
      <c r="J98" s="22">
        <f t="shared" si="8"/>
        <v>320729063.91467971</v>
      </c>
      <c r="K98" s="22">
        <v>0</v>
      </c>
      <c r="L98" s="22">
        <v>443762757</v>
      </c>
      <c r="M98" s="22">
        <f t="shared" si="9"/>
        <v>443762757</v>
      </c>
      <c r="N98" s="22">
        <f t="shared" si="10"/>
        <v>548661654.59622383</v>
      </c>
      <c r="O98" s="23">
        <f t="shared" si="11"/>
        <v>104898897.59622383</v>
      </c>
    </row>
    <row r="99" spans="1:16" x14ac:dyDescent="0.25">
      <c r="A99" s="29" t="s">
        <v>101</v>
      </c>
      <c r="B99" s="31" t="s">
        <v>111</v>
      </c>
      <c r="C99" s="21">
        <v>0</v>
      </c>
      <c r="D99" s="21">
        <v>177663154.30325469</v>
      </c>
      <c r="E99" s="21">
        <v>0</v>
      </c>
      <c r="F99" s="21">
        <v>493034199.66132116</v>
      </c>
      <c r="G99" s="21">
        <v>0</v>
      </c>
      <c r="H99" s="22">
        <v>0</v>
      </c>
      <c r="I99" s="22">
        <v>98606839.600000024</v>
      </c>
      <c r="J99" s="22">
        <f t="shared" si="8"/>
        <v>394427359.72905695</v>
      </c>
      <c r="K99" s="22">
        <f>810000000+113810606</f>
        <v>923810606</v>
      </c>
      <c r="L99" s="22">
        <f>1010000000+161132756</f>
        <v>1171132756</v>
      </c>
      <c r="M99" s="22">
        <f t="shared" si="9"/>
        <v>247322150</v>
      </c>
      <c r="N99" s="22">
        <f t="shared" si="10"/>
        <v>670697353.6323117</v>
      </c>
      <c r="O99" s="23">
        <f t="shared" si="11"/>
        <v>423375203.6323117</v>
      </c>
      <c r="P99" s="18"/>
    </row>
    <row r="100" spans="1:16" x14ac:dyDescent="0.25">
      <c r="A100" s="29" t="s">
        <v>112</v>
      </c>
      <c r="B100" s="31" t="s">
        <v>113</v>
      </c>
      <c r="C100" s="21">
        <v>0</v>
      </c>
      <c r="D100" s="21">
        <v>380691577.38155377</v>
      </c>
      <c r="E100" s="21">
        <v>0</v>
      </c>
      <c r="F100" s="21">
        <v>1067716482.9144099</v>
      </c>
      <c r="G100" s="21">
        <v>0</v>
      </c>
      <c r="H100" s="22">
        <v>0</v>
      </c>
      <c r="I100" s="22">
        <v>213543296.19999999</v>
      </c>
      <c r="J100" s="22">
        <f t="shared" ref="J100:J119" si="12">(E100+F100)*80%</f>
        <v>854173186.33152795</v>
      </c>
      <c r="K100" s="22">
        <f>1315585488</f>
        <v>1315585488</v>
      </c>
      <c r="L100" s="22">
        <f>370627376+2199585488</f>
        <v>2570212864</v>
      </c>
      <c r="M100" s="22">
        <f t="shared" ref="M100:M119" si="13">L100-K100</f>
        <v>1254627376</v>
      </c>
      <c r="N100" s="22">
        <f t="shared" ref="N100:N119" si="14">C100+D100+H100+I100+J100</f>
        <v>1448408059.9130816</v>
      </c>
      <c r="O100" s="23">
        <f t="shared" ref="O100:O119" si="15">N100-M100</f>
        <v>193780683.91308165</v>
      </c>
      <c r="P100" s="18"/>
    </row>
    <row r="101" spans="1:16" x14ac:dyDescent="0.25">
      <c r="A101" s="29" t="s">
        <v>112</v>
      </c>
      <c r="B101" s="31" t="s">
        <v>114</v>
      </c>
      <c r="C101" s="21">
        <v>0</v>
      </c>
      <c r="D101" s="21">
        <v>362036728.68288052</v>
      </c>
      <c r="E101" s="21">
        <v>0</v>
      </c>
      <c r="F101" s="21">
        <v>994905583.68602431</v>
      </c>
      <c r="G101" s="21">
        <v>0</v>
      </c>
      <c r="H101" s="22">
        <v>0</v>
      </c>
      <c r="I101" s="22">
        <v>198981116.60000002</v>
      </c>
      <c r="J101" s="22">
        <f t="shared" si="12"/>
        <v>795924466.94881952</v>
      </c>
      <c r="K101" s="22">
        <f>1212000000</f>
        <v>1212000000</v>
      </c>
      <c r="L101" s="22">
        <f>1452000000</f>
        <v>1452000000</v>
      </c>
      <c r="M101" s="22">
        <f t="shared" si="13"/>
        <v>240000000</v>
      </c>
      <c r="N101" s="22">
        <f t="shared" si="14"/>
        <v>1356942312.2316999</v>
      </c>
      <c r="O101" s="23">
        <f t="shared" si="15"/>
        <v>1116942312.2316999</v>
      </c>
    </row>
    <row r="102" spans="1:16" x14ac:dyDescent="0.25">
      <c r="A102" s="29" t="s">
        <v>112</v>
      </c>
      <c r="B102" s="31" t="s">
        <v>115</v>
      </c>
      <c r="C102" s="21">
        <v>0</v>
      </c>
      <c r="D102" s="21">
        <v>239198775.0309788</v>
      </c>
      <c r="E102" s="21">
        <v>0</v>
      </c>
      <c r="F102" s="21">
        <v>649105200.38142025</v>
      </c>
      <c r="G102" s="21">
        <v>0</v>
      </c>
      <c r="H102" s="22">
        <v>0</v>
      </c>
      <c r="I102" s="22">
        <v>129821039.80000003</v>
      </c>
      <c r="J102" s="22">
        <f t="shared" si="12"/>
        <v>519284160.3051362</v>
      </c>
      <c r="K102" s="22">
        <v>0</v>
      </c>
      <c r="L102" s="22">
        <f>339228053</f>
        <v>339228053</v>
      </c>
      <c r="M102" s="22">
        <f t="shared" si="13"/>
        <v>339228053</v>
      </c>
      <c r="N102" s="22">
        <f t="shared" si="14"/>
        <v>888303975.13611507</v>
      </c>
      <c r="O102" s="23">
        <f t="shared" si="15"/>
        <v>549075922.13611507</v>
      </c>
    </row>
    <row r="103" spans="1:16" x14ac:dyDescent="0.25">
      <c r="A103" s="29" t="s">
        <v>112</v>
      </c>
      <c r="B103" s="31" t="s">
        <v>116</v>
      </c>
      <c r="C103" s="21">
        <v>0</v>
      </c>
      <c r="D103" s="21">
        <v>286092861.39239055</v>
      </c>
      <c r="E103" s="21">
        <v>0</v>
      </c>
      <c r="F103" s="21">
        <v>790551725.02210128</v>
      </c>
      <c r="G103" s="21">
        <v>0</v>
      </c>
      <c r="H103" s="22">
        <v>0</v>
      </c>
      <c r="I103" s="22">
        <v>158110344.80000001</v>
      </c>
      <c r="J103" s="22">
        <f t="shared" si="12"/>
        <v>632441380.017681</v>
      </c>
      <c r="K103" s="22">
        <f>810000000+145206383</f>
        <v>955206383</v>
      </c>
      <c r="L103" s="22">
        <f>74803102+1010000000+206031174</f>
        <v>1290834276</v>
      </c>
      <c r="M103" s="22">
        <f t="shared" si="13"/>
        <v>335627893</v>
      </c>
      <c r="N103" s="22">
        <f t="shared" si="14"/>
        <v>1076644586.2100716</v>
      </c>
      <c r="O103" s="23">
        <f t="shared" si="15"/>
        <v>741016693.21007156</v>
      </c>
    </row>
    <row r="104" spans="1:16" x14ac:dyDescent="0.25">
      <c r="A104" s="29" t="s">
        <v>112</v>
      </c>
      <c r="B104" s="31" t="s">
        <v>117</v>
      </c>
      <c r="C104" s="21">
        <v>0</v>
      </c>
      <c r="D104" s="21">
        <v>454362347.74692506</v>
      </c>
      <c r="E104" s="21">
        <v>0</v>
      </c>
      <c r="F104" s="21">
        <v>1264612418.7266858</v>
      </c>
      <c r="G104" s="21">
        <v>0</v>
      </c>
      <c r="H104" s="22">
        <v>0</v>
      </c>
      <c r="I104" s="22">
        <v>252922483.60000002</v>
      </c>
      <c r="J104" s="22">
        <f t="shared" si="12"/>
        <v>1011689934.9813486</v>
      </c>
      <c r="K104" s="22">
        <f>972000000+131310619</f>
        <v>1103310619</v>
      </c>
      <c r="L104" s="22">
        <f>183787500+125366900+132000000+1212000000+189279283</f>
        <v>1842433683</v>
      </c>
      <c r="M104" s="22">
        <f t="shared" si="13"/>
        <v>739123064</v>
      </c>
      <c r="N104" s="22">
        <f t="shared" si="14"/>
        <v>1718974766.3282738</v>
      </c>
      <c r="O104" s="23">
        <f t="shared" si="15"/>
        <v>979851702.32827377</v>
      </c>
    </row>
    <row r="105" spans="1:16" x14ac:dyDescent="0.25">
      <c r="A105" s="29" t="s">
        <v>112</v>
      </c>
      <c r="B105" s="31" t="s">
        <v>118</v>
      </c>
      <c r="C105" s="21">
        <v>0</v>
      </c>
      <c r="D105" s="21">
        <v>579385096.58220971</v>
      </c>
      <c r="E105" s="21">
        <v>0</v>
      </c>
      <c r="F105" s="21">
        <v>1625534525.9374511</v>
      </c>
      <c r="G105" s="21">
        <v>0</v>
      </c>
      <c r="H105" s="22">
        <v>0</v>
      </c>
      <c r="I105" s="22">
        <v>325106905</v>
      </c>
      <c r="J105" s="22">
        <f t="shared" si="12"/>
        <v>1300427620.7499609</v>
      </c>
      <c r="K105" s="22">
        <f>113810606</f>
        <v>113810606</v>
      </c>
      <c r="L105" s="22">
        <f>571091167+161132756</f>
        <v>732223923</v>
      </c>
      <c r="M105" s="22">
        <f t="shared" si="13"/>
        <v>618413317</v>
      </c>
      <c r="N105" s="22">
        <f t="shared" si="14"/>
        <v>2204919622.3321705</v>
      </c>
      <c r="O105" s="23">
        <f t="shared" si="15"/>
        <v>1586506305.3321705</v>
      </c>
    </row>
    <row r="106" spans="1:16" x14ac:dyDescent="0.25">
      <c r="A106" s="29" t="s">
        <v>112</v>
      </c>
      <c r="B106" s="31" t="s">
        <v>119</v>
      </c>
      <c r="C106" s="21">
        <v>0</v>
      </c>
      <c r="D106" s="21">
        <v>250250964.68747228</v>
      </c>
      <c r="E106" s="21">
        <v>0</v>
      </c>
      <c r="F106" s="21">
        <v>678457127.07003701</v>
      </c>
      <c r="G106" s="21">
        <v>0</v>
      </c>
      <c r="H106" s="22">
        <v>0</v>
      </c>
      <c r="I106" s="22">
        <v>135691425.20000002</v>
      </c>
      <c r="J106" s="22">
        <f t="shared" si="12"/>
        <v>542765701.65602958</v>
      </c>
      <c r="K106" s="22">
        <f>1032000000</f>
        <v>1032000000</v>
      </c>
      <c r="L106" s="22">
        <f>299257259+1212000000</f>
        <v>1511257259</v>
      </c>
      <c r="M106" s="22">
        <f t="shared" si="13"/>
        <v>479257259</v>
      </c>
      <c r="N106" s="22">
        <f t="shared" si="14"/>
        <v>928708091.54350185</v>
      </c>
      <c r="O106" s="23">
        <f t="shared" si="15"/>
        <v>449450832.54350185</v>
      </c>
    </row>
    <row r="107" spans="1:16" x14ac:dyDescent="0.25">
      <c r="A107" s="29" t="s">
        <v>112</v>
      </c>
      <c r="B107" s="31" t="s">
        <v>153</v>
      </c>
      <c r="C107" s="21">
        <v>0</v>
      </c>
      <c r="D107" s="21">
        <v>370968648.5919947</v>
      </c>
      <c r="E107" s="21">
        <v>0</v>
      </c>
      <c r="F107" s="21">
        <v>1031833005.4743315</v>
      </c>
      <c r="G107" s="21">
        <v>0</v>
      </c>
      <c r="H107" s="22">
        <v>0</v>
      </c>
      <c r="I107" s="22">
        <v>206366600.80000004</v>
      </c>
      <c r="J107" s="22">
        <f t="shared" si="12"/>
        <v>825466404.37946522</v>
      </c>
      <c r="K107" s="22">
        <v>810000000</v>
      </c>
      <c r="L107" s="22">
        <f>370968649+1010000000+344994010+68472015+231859220</f>
        <v>2026293894</v>
      </c>
      <c r="M107" s="22">
        <f t="shared" si="13"/>
        <v>1216293894</v>
      </c>
      <c r="N107" s="22">
        <f t="shared" si="14"/>
        <v>1402801653.7714601</v>
      </c>
      <c r="O107" s="23">
        <f t="shared" si="15"/>
        <v>186507759.77146006</v>
      </c>
    </row>
    <row r="108" spans="1:16" x14ac:dyDescent="0.25">
      <c r="A108" s="29" t="s">
        <v>112</v>
      </c>
      <c r="B108" s="31" t="s">
        <v>121</v>
      </c>
      <c r="C108" s="21">
        <v>0</v>
      </c>
      <c r="D108" s="21">
        <v>274728280.44061852</v>
      </c>
      <c r="E108" s="21">
        <v>0</v>
      </c>
      <c r="F108" s="21">
        <v>771356939.98517859</v>
      </c>
      <c r="G108" s="21">
        <v>0</v>
      </c>
      <c r="H108" s="22">
        <v>0</v>
      </c>
      <c r="I108" s="22">
        <v>154271387.80000001</v>
      </c>
      <c r="J108" s="22">
        <f t="shared" si="12"/>
        <v>617085551.98814285</v>
      </c>
      <c r="K108" s="22">
        <f>972000000+131132756</f>
        <v>1103132756</v>
      </c>
      <c r="L108" s="22">
        <f>274728280+1212000000+161132756</f>
        <v>1647861036</v>
      </c>
      <c r="M108" s="22">
        <f t="shared" si="13"/>
        <v>544728280</v>
      </c>
      <c r="N108" s="22">
        <f t="shared" si="14"/>
        <v>1046085220.2287614</v>
      </c>
      <c r="O108" s="23">
        <f t="shared" si="15"/>
        <v>501356940.22876143</v>
      </c>
    </row>
    <row r="109" spans="1:16" x14ac:dyDescent="0.25">
      <c r="A109" s="29" t="s">
        <v>112</v>
      </c>
      <c r="B109" s="31" t="s">
        <v>122</v>
      </c>
      <c r="C109" s="21">
        <v>0</v>
      </c>
      <c r="D109" s="21">
        <v>409329018.57982677</v>
      </c>
      <c r="E109" s="21">
        <v>0</v>
      </c>
      <c r="F109" s="21">
        <v>1109873508.2969561</v>
      </c>
      <c r="G109" s="21">
        <v>0</v>
      </c>
      <c r="H109" s="22">
        <v>0</v>
      </c>
      <c r="I109" s="22">
        <v>221974701.40000001</v>
      </c>
      <c r="J109" s="22">
        <f t="shared" si="12"/>
        <v>887898806.6375649</v>
      </c>
      <c r="K109" s="22">
        <f>1128000000</f>
        <v>1128000000</v>
      </c>
      <c r="L109" s="22">
        <f>1848000000</f>
        <v>1848000000</v>
      </c>
      <c r="M109" s="22">
        <f t="shared" si="13"/>
        <v>720000000</v>
      </c>
      <c r="N109" s="22">
        <f t="shared" si="14"/>
        <v>1519202526.6173916</v>
      </c>
      <c r="O109" s="23">
        <f t="shared" si="15"/>
        <v>799202526.61739159</v>
      </c>
    </row>
    <row r="110" spans="1:16" x14ac:dyDescent="0.25">
      <c r="A110" s="29" t="s">
        <v>123</v>
      </c>
      <c r="B110" s="31" t="s">
        <v>124</v>
      </c>
      <c r="C110" s="21">
        <v>0</v>
      </c>
      <c r="D110" s="21">
        <v>272018573.67851621</v>
      </c>
      <c r="E110" s="21">
        <v>0</v>
      </c>
      <c r="F110" s="21">
        <v>747388886.41918325</v>
      </c>
      <c r="G110" s="21">
        <v>0</v>
      </c>
      <c r="H110" s="22">
        <v>0</v>
      </c>
      <c r="I110" s="22">
        <v>149477777.20000002</v>
      </c>
      <c r="J110" s="22">
        <f t="shared" si="12"/>
        <v>597911109.13534665</v>
      </c>
      <c r="K110" s="22">
        <f>89000000+72264519+40000000+688000000</f>
        <v>889264519</v>
      </c>
      <c r="L110" s="22">
        <f>299000000+134264519+400180000+89880000+808000000</f>
        <v>1731324519</v>
      </c>
      <c r="M110" s="22">
        <f t="shared" si="13"/>
        <v>842060000</v>
      </c>
      <c r="N110" s="22">
        <f t="shared" si="14"/>
        <v>1019407460.0138628</v>
      </c>
      <c r="O110" s="23">
        <f t="shared" si="15"/>
        <v>177347460.01386285</v>
      </c>
    </row>
    <row r="111" spans="1:16" x14ac:dyDescent="0.25">
      <c r="A111" s="29" t="s">
        <v>123</v>
      </c>
      <c r="B111" s="31" t="s">
        <v>125</v>
      </c>
      <c r="C111" s="21">
        <v>355749253.3894251</v>
      </c>
      <c r="D111" s="21">
        <v>225054421.50937223</v>
      </c>
      <c r="E111" s="21">
        <v>420564098.28380823</v>
      </c>
      <c r="F111" s="21">
        <v>616156240.22553861</v>
      </c>
      <c r="G111" s="21">
        <v>104515012</v>
      </c>
      <c r="H111" s="22">
        <v>0</v>
      </c>
      <c r="I111" s="22">
        <v>123231247.79999998</v>
      </c>
      <c r="J111" s="22">
        <f t="shared" si="12"/>
        <v>829376270.80747747</v>
      </c>
      <c r="K111" s="22">
        <v>0</v>
      </c>
      <c r="L111" s="22">
        <f>540736628</f>
        <v>540736628</v>
      </c>
      <c r="M111" s="22">
        <f t="shared" si="13"/>
        <v>540736628</v>
      </c>
      <c r="N111" s="22">
        <f t="shared" si="14"/>
        <v>1533411193.5062747</v>
      </c>
      <c r="O111" s="23">
        <f t="shared" si="15"/>
        <v>992674565.5062747</v>
      </c>
    </row>
    <row r="112" spans="1:16" x14ac:dyDescent="0.25">
      <c r="A112" s="29" t="s">
        <v>123</v>
      </c>
      <c r="B112" s="31" t="s">
        <v>126</v>
      </c>
      <c r="C112" s="21">
        <v>0</v>
      </c>
      <c r="D112" s="21">
        <v>207846273.80777219</v>
      </c>
      <c r="E112" s="21">
        <v>0</v>
      </c>
      <c r="F112" s="21">
        <v>579833428.2951113</v>
      </c>
      <c r="G112" s="21">
        <v>0</v>
      </c>
      <c r="H112" s="22">
        <v>0</v>
      </c>
      <c r="I112" s="22">
        <v>115966685.40000001</v>
      </c>
      <c r="J112" s="22">
        <f t="shared" si="12"/>
        <v>463866742.63608909</v>
      </c>
      <c r="K112" s="22">
        <v>0</v>
      </c>
      <c r="L112" s="22">
        <f>664535112</f>
        <v>664535112</v>
      </c>
      <c r="M112" s="22">
        <f t="shared" si="13"/>
        <v>664535112</v>
      </c>
      <c r="N112" s="22">
        <f t="shared" si="14"/>
        <v>787679701.84386134</v>
      </c>
      <c r="O112" s="23">
        <f t="shared" si="15"/>
        <v>123144589.84386134</v>
      </c>
    </row>
    <row r="113" spans="1:15" x14ac:dyDescent="0.25">
      <c r="A113" s="29" t="s">
        <v>123</v>
      </c>
      <c r="B113" s="31" t="s">
        <v>127</v>
      </c>
      <c r="C113" s="21">
        <v>389828724.89081872</v>
      </c>
      <c r="D113" s="21">
        <v>369892065.22769815</v>
      </c>
      <c r="E113" s="21">
        <v>718028383.15071428</v>
      </c>
      <c r="F113" s="21">
        <v>1022846748.3744063</v>
      </c>
      <c r="G113" s="21">
        <v>74352982</v>
      </c>
      <c r="H113" s="22">
        <v>0</v>
      </c>
      <c r="I113" s="22">
        <v>204569349.59999999</v>
      </c>
      <c r="J113" s="22">
        <f t="shared" si="12"/>
        <v>1392700105.2200966</v>
      </c>
      <c r="K113" s="22">
        <v>0</v>
      </c>
      <c r="L113" s="22">
        <f>100000000+1200000000</f>
        <v>1300000000</v>
      </c>
      <c r="M113" s="22">
        <f t="shared" si="13"/>
        <v>1300000000</v>
      </c>
      <c r="N113" s="22">
        <f t="shared" si="14"/>
        <v>2356990244.9386134</v>
      </c>
      <c r="O113" s="23">
        <f t="shared" si="15"/>
        <v>1056990244.9386134</v>
      </c>
    </row>
    <row r="114" spans="1:15" x14ac:dyDescent="0.25">
      <c r="A114" s="29" t="s">
        <v>123</v>
      </c>
      <c r="B114" s="31" t="s">
        <v>128</v>
      </c>
      <c r="C114" s="21">
        <v>274920320.69674766</v>
      </c>
      <c r="D114" s="21">
        <v>342160879.71846426</v>
      </c>
      <c r="E114" s="21">
        <v>405576717.00685525</v>
      </c>
      <c r="F114" s="21">
        <v>951429795.79764116</v>
      </c>
      <c r="G114" s="21">
        <v>97654022</v>
      </c>
      <c r="H114" s="22">
        <v>0</v>
      </c>
      <c r="I114" s="22">
        <v>190285959</v>
      </c>
      <c r="J114" s="22">
        <f t="shared" si="12"/>
        <v>1085605210.243597</v>
      </c>
      <c r="K114" s="22">
        <v>0</v>
      </c>
      <c r="L114" s="22">
        <f>857000000</f>
        <v>857000000</v>
      </c>
      <c r="M114" s="22">
        <f t="shared" si="13"/>
        <v>857000000</v>
      </c>
      <c r="N114" s="22">
        <f t="shared" si="14"/>
        <v>1892972369.6588089</v>
      </c>
      <c r="O114" s="23">
        <f t="shared" si="15"/>
        <v>1035972369.6588089</v>
      </c>
    </row>
    <row r="115" spans="1:15" x14ac:dyDescent="0.25">
      <c r="A115" s="29" t="s">
        <v>123</v>
      </c>
      <c r="B115" s="31" t="s">
        <v>129</v>
      </c>
      <c r="C115" s="21">
        <v>0</v>
      </c>
      <c r="D115" s="21">
        <v>331653262.7268123</v>
      </c>
      <c r="E115" s="21">
        <v>0</v>
      </c>
      <c r="F115" s="21">
        <v>932701606.36803377</v>
      </c>
      <c r="G115" s="21">
        <v>0</v>
      </c>
      <c r="H115" s="22">
        <v>0</v>
      </c>
      <c r="I115" s="22">
        <v>186540321</v>
      </c>
      <c r="J115" s="22">
        <f t="shared" si="12"/>
        <v>746161285.09442711</v>
      </c>
      <c r="K115" s="22">
        <v>0</v>
      </c>
      <c r="L115" s="22">
        <f>231653263+100000000+720000000</f>
        <v>1051653263</v>
      </c>
      <c r="M115" s="22">
        <f t="shared" si="13"/>
        <v>1051653263</v>
      </c>
      <c r="N115" s="22">
        <f t="shared" si="14"/>
        <v>1264354868.8212395</v>
      </c>
      <c r="O115" s="23">
        <f t="shared" si="15"/>
        <v>212701605.82123947</v>
      </c>
    </row>
    <row r="116" spans="1:15" x14ac:dyDescent="0.25">
      <c r="A116" s="29" t="s">
        <v>123</v>
      </c>
      <c r="B116" s="31" t="s">
        <v>130</v>
      </c>
      <c r="C116" s="21">
        <v>0</v>
      </c>
      <c r="D116" s="21">
        <v>360977789.99350899</v>
      </c>
      <c r="E116" s="21">
        <v>0</v>
      </c>
      <c r="F116" s="21">
        <v>1021141239.2545499</v>
      </c>
      <c r="G116" s="21">
        <v>0</v>
      </c>
      <c r="H116" s="22">
        <v>0</v>
      </c>
      <c r="I116" s="22">
        <v>204228247.80000001</v>
      </c>
      <c r="J116" s="22">
        <f t="shared" si="12"/>
        <v>816912991.40363991</v>
      </c>
      <c r="K116" s="22">
        <v>0</v>
      </c>
      <c r="L116" s="22">
        <v>360968556</v>
      </c>
      <c r="M116" s="22">
        <f t="shared" si="13"/>
        <v>360968556</v>
      </c>
      <c r="N116" s="22">
        <f t="shared" si="14"/>
        <v>1382119029.1971488</v>
      </c>
      <c r="O116" s="23">
        <f t="shared" si="15"/>
        <v>1021150473.1971488</v>
      </c>
    </row>
    <row r="117" spans="1:15" x14ac:dyDescent="0.25">
      <c r="A117" s="29" t="s">
        <v>123</v>
      </c>
      <c r="B117" s="31" t="s">
        <v>131</v>
      </c>
      <c r="C117" s="21">
        <v>330199122.39855283</v>
      </c>
      <c r="D117" s="21">
        <v>225597643.61108926</v>
      </c>
      <c r="E117" s="21">
        <v>373749186.392721</v>
      </c>
      <c r="F117" s="21">
        <v>633311362.4325794</v>
      </c>
      <c r="G117" s="21">
        <v>120763410</v>
      </c>
      <c r="H117" s="22">
        <v>0</v>
      </c>
      <c r="I117" s="22">
        <v>126662272.2</v>
      </c>
      <c r="J117" s="22">
        <f t="shared" si="12"/>
        <v>805648439.06024039</v>
      </c>
      <c r="K117" s="22">
        <f>648000000+132495498</f>
        <v>780495498</v>
      </c>
      <c r="L117" s="22">
        <f>808000000+189279283+555796766</f>
        <v>1553076049</v>
      </c>
      <c r="M117" s="22">
        <f t="shared" si="13"/>
        <v>772580551</v>
      </c>
      <c r="N117" s="22">
        <f t="shared" si="14"/>
        <v>1488107477.2698827</v>
      </c>
      <c r="O117" s="23">
        <f t="shared" si="15"/>
        <v>715526926.26988268</v>
      </c>
    </row>
    <row r="118" spans="1:15" x14ac:dyDescent="0.25">
      <c r="A118" s="29" t="s">
        <v>123</v>
      </c>
      <c r="B118" s="31" t="s">
        <v>132</v>
      </c>
      <c r="C118" s="21">
        <v>131308163.51254579</v>
      </c>
      <c r="D118" s="21">
        <v>279691383.29480898</v>
      </c>
      <c r="E118" s="21">
        <v>188094185.02742282</v>
      </c>
      <c r="F118" s="21">
        <v>783111575.19079709</v>
      </c>
      <c r="G118" s="21">
        <v>52677790</v>
      </c>
      <c r="H118" s="22">
        <v>0</v>
      </c>
      <c r="I118" s="22">
        <v>156622314.80000001</v>
      </c>
      <c r="J118" s="22">
        <f t="shared" si="12"/>
        <v>776964608.17457592</v>
      </c>
      <c r="K118" s="22">
        <f>370984461+45000000+154336121</f>
        <v>570320582</v>
      </c>
      <c r="L118" s="22">
        <f>781984008+457898651+250825381</f>
        <v>1490708040</v>
      </c>
      <c r="M118" s="22">
        <f t="shared" si="13"/>
        <v>920387458</v>
      </c>
      <c r="N118" s="22">
        <f t="shared" si="14"/>
        <v>1344586469.7819309</v>
      </c>
      <c r="O118" s="23">
        <f t="shared" si="15"/>
        <v>424199011.78193092</v>
      </c>
    </row>
    <row r="119" spans="1:15" ht="15.75" thickBot="1" x14ac:dyDescent="0.3">
      <c r="A119" s="30" t="s">
        <v>123</v>
      </c>
      <c r="B119" s="31" t="s">
        <v>158</v>
      </c>
      <c r="C119" s="21">
        <v>989630.31241876876</v>
      </c>
      <c r="D119" s="21">
        <v>637301942.8987993</v>
      </c>
      <c r="E119" s="21">
        <v>2157106.7732344102</v>
      </c>
      <c r="F119" s="21">
        <v>1773493164.6365395</v>
      </c>
      <c r="G119" s="21">
        <v>907704</v>
      </c>
      <c r="H119" s="22">
        <v>431421.2</v>
      </c>
      <c r="I119" s="22">
        <v>354698632.60000002</v>
      </c>
      <c r="J119" s="22">
        <f t="shared" si="12"/>
        <v>1420520217.1278191</v>
      </c>
      <c r="K119" s="22">
        <f>139518709+923400000</f>
        <v>1062918709</v>
      </c>
      <c r="L119" s="22">
        <f>776820652+1151400000</f>
        <v>1928220652</v>
      </c>
      <c r="M119" s="22">
        <f t="shared" si="13"/>
        <v>865301943</v>
      </c>
      <c r="N119" s="22">
        <f t="shared" si="14"/>
        <v>2413941844.1390371</v>
      </c>
      <c r="O119" s="23">
        <f t="shared" si="15"/>
        <v>1548639901.1390371</v>
      </c>
    </row>
    <row r="120" spans="1:15" x14ac:dyDescent="0.25">
      <c r="C120" s="18"/>
      <c r="D120" s="18"/>
      <c r="E120" s="18"/>
      <c r="F120" s="18"/>
      <c r="G120" s="18"/>
    </row>
    <row r="121" spans="1:15" x14ac:dyDescent="0.25">
      <c r="E121" s="18"/>
    </row>
    <row r="126" spans="1:15" x14ac:dyDescent="0.25">
      <c r="F126" s="83"/>
      <c r="G126" s="83"/>
    </row>
  </sheetData>
  <autoFilter ref="A3:O119">
    <sortState ref="A5:P119">
      <sortCondition ref="A3:A119"/>
    </sortState>
  </autoFilter>
  <mergeCells count="13">
    <mergeCell ref="O2:O3"/>
    <mergeCell ref="B1:O1"/>
    <mergeCell ref="A2:A3"/>
    <mergeCell ref="B2:B3"/>
    <mergeCell ref="C2:D2"/>
    <mergeCell ref="E2:F2"/>
    <mergeCell ref="J2:J3"/>
    <mergeCell ref="L2:L3"/>
    <mergeCell ref="M2:M3"/>
    <mergeCell ref="N2:N3"/>
    <mergeCell ref="G2:G3"/>
    <mergeCell ref="H2:I2"/>
    <mergeCell ref="K2:K3"/>
  </mergeCells>
  <pageMargins left="0.70866141732283472" right="0.51181102362204722" top="0.74803149606299213" bottom="0.74803149606299213" header="0.31496062992125984" footer="0.31496062992125984"/>
  <pageSetup paperSize="160"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1"/>
  <sheetViews>
    <sheetView zoomScale="70" zoomScaleNormal="70" workbookViewId="0">
      <pane ySplit="3" topLeftCell="A4" activePane="bottomLeft" state="frozen"/>
      <selection activeCell="C1" sqref="C1"/>
      <selection pane="bottomLeft" activeCell="B6" sqref="B6"/>
    </sheetView>
  </sheetViews>
  <sheetFormatPr baseColWidth="10" defaultRowHeight="15" x14ac:dyDescent="0.25"/>
  <cols>
    <col min="1" max="1" width="21" customWidth="1"/>
    <col min="2" max="2" width="15.7109375" customWidth="1"/>
    <col min="3" max="3" width="17.85546875" hidden="1" customWidth="1"/>
    <col min="4" max="4" width="16.42578125" hidden="1" customWidth="1"/>
    <col min="5" max="5" width="16.7109375" hidden="1" customWidth="1"/>
    <col min="6" max="6" width="19.7109375" hidden="1" customWidth="1"/>
    <col min="7" max="7" width="18.42578125" hidden="1" customWidth="1"/>
    <col min="8" max="8" width="19" hidden="1" customWidth="1"/>
    <col min="9" max="9" width="18.28515625" hidden="1" customWidth="1"/>
    <col min="10" max="10" width="19.28515625" customWidth="1"/>
    <col min="11" max="11" width="20.85546875" customWidth="1"/>
    <col min="12" max="12" width="19.7109375" customWidth="1"/>
    <col min="13" max="13" width="13.85546875" customWidth="1"/>
    <col min="14" max="14" width="23.28515625" customWidth="1"/>
  </cols>
  <sheetData>
    <row r="1" spans="1:14" ht="33.75" customHeight="1" x14ac:dyDescent="0.25">
      <c r="A1" s="118" t="s">
        <v>197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85"/>
      <c r="N1" s="58"/>
    </row>
    <row r="2" spans="1:14" ht="15.75" customHeight="1" x14ac:dyDescent="0.25">
      <c r="A2" s="119" t="s">
        <v>167</v>
      </c>
      <c r="B2" s="119" t="s">
        <v>166</v>
      </c>
      <c r="C2" s="120">
        <v>2012</v>
      </c>
      <c r="D2" s="120"/>
      <c r="E2" s="120" t="s">
        <v>8</v>
      </c>
      <c r="F2" s="120"/>
      <c r="G2" s="117" t="s">
        <v>169</v>
      </c>
      <c r="H2" s="117" t="s">
        <v>178</v>
      </c>
      <c r="I2" s="117" t="s">
        <v>165</v>
      </c>
      <c r="J2" s="117" t="s">
        <v>170</v>
      </c>
      <c r="K2" s="117" t="s">
        <v>168</v>
      </c>
      <c r="L2" s="117" t="s">
        <v>227</v>
      </c>
      <c r="M2" s="117" t="s">
        <v>250</v>
      </c>
      <c r="N2" s="58"/>
    </row>
    <row r="3" spans="1:14" ht="31.5" customHeight="1" x14ac:dyDescent="0.25">
      <c r="A3" s="119"/>
      <c r="B3" s="119"/>
      <c r="C3" s="86" t="s">
        <v>162</v>
      </c>
      <c r="D3" s="86" t="s">
        <v>163</v>
      </c>
      <c r="E3" s="86" t="s">
        <v>162</v>
      </c>
      <c r="F3" s="86" t="s">
        <v>163</v>
      </c>
      <c r="G3" s="117"/>
      <c r="H3" s="117"/>
      <c r="I3" s="117"/>
      <c r="J3" s="117"/>
      <c r="K3" s="117"/>
      <c r="L3" s="117"/>
      <c r="M3" s="117"/>
    </row>
    <row r="4" spans="1:14" x14ac:dyDescent="0.25">
      <c r="A4" s="87" t="s">
        <v>0</v>
      </c>
      <c r="B4" s="88" t="s">
        <v>149</v>
      </c>
      <c r="C4" s="21">
        <v>0</v>
      </c>
      <c r="D4" s="21"/>
      <c r="E4" s="21">
        <v>0</v>
      </c>
      <c r="F4" s="21">
        <v>2021075398.2604146</v>
      </c>
      <c r="G4" s="22">
        <v>860000000</v>
      </c>
      <c r="H4" s="22">
        <v>1616860318.6083317</v>
      </c>
      <c r="I4" s="22">
        <v>2477235359</v>
      </c>
      <c r="J4" s="22">
        <f>MUNICIPIOS!M4</f>
        <v>1617235359</v>
      </c>
      <c r="K4" s="22">
        <f>MUNICIPIOS!N4</f>
        <v>2737477719.4325609</v>
      </c>
      <c r="L4" s="22">
        <f t="shared" ref="L4:L35" si="0">K4-J4</f>
        <v>1120242360.4325609</v>
      </c>
      <c r="M4" s="89">
        <f t="shared" ref="M4:M35" si="1">J4/K4</f>
        <v>0.59077571573266696</v>
      </c>
    </row>
    <row r="5" spans="1:14" x14ac:dyDescent="0.25">
      <c r="A5" s="87" t="s">
        <v>0</v>
      </c>
      <c r="B5" s="88" t="s">
        <v>2</v>
      </c>
      <c r="C5" s="21">
        <v>2052833.0035557707</v>
      </c>
      <c r="D5" s="21">
        <v>197959718.33486614</v>
      </c>
      <c r="E5" s="21">
        <v>2979855.0789667908</v>
      </c>
      <c r="F5" s="21">
        <v>530729864.82822531</v>
      </c>
      <c r="G5" s="22">
        <v>1001132756</v>
      </c>
      <c r="H5" s="22">
        <v>426967775.92575371</v>
      </c>
      <c r="I5" s="22">
        <v>1171132756</v>
      </c>
      <c r="J5" s="22">
        <f>MUNICIPIOS!M5</f>
        <v>170000000</v>
      </c>
      <c r="K5" s="22">
        <f>MUNICIPIOS!N5</f>
        <v>733126300.06417561</v>
      </c>
      <c r="L5" s="22">
        <f t="shared" si="0"/>
        <v>563126300.06417561</v>
      </c>
      <c r="M5" s="89">
        <f t="shared" si="1"/>
        <v>0.23188364676743792</v>
      </c>
    </row>
    <row r="6" spans="1:14" x14ac:dyDescent="0.25">
      <c r="A6" s="87" t="s">
        <v>0</v>
      </c>
      <c r="B6" s="88" t="s">
        <v>152</v>
      </c>
      <c r="C6" s="21">
        <v>0</v>
      </c>
      <c r="D6" s="21">
        <v>143158002.30959389</v>
      </c>
      <c r="E6" s="21">
        <v>0</v>
      </c>
      <c r="F6" s="21">
        <v>389780352.77472568</v>
      </c>
      <c r="G6" s="22">
        <v>842800000</v>
      </c>
      <c r="H6" s="22">
        <v>311824282.21978056</v>
      </c>
      <c r="I6" s="22">
        <v>1288953596</v>
      </c>
      <c r="J6" s="22">
        <f>MUNICIPIOS!M6</f>
        <v>446153596</v>
      </c>
      <c r="K6" s="22">
        <f>MUNICIPIOS!N6</f>
        <v>532938354.92937446</v>
      </c>
      <c r="L6" s="22">
        <f t="shared" si="0"/>
        <v>86784758.929374456</v>
      </c>
      <c r="M6" s="89">
        <f t="shared" si="1"/>
        <v>0.83715797872931241</v>
      </c>
    </row>
    <row r="7" spans="1:14" x14ac:dyDescent="0.25">
      <c r="A7" s="87" t="s">
        <v>0</v>
      </c>
      <c r="B7" s="88" t="s">
        <v>155</v>
      </c>
      <c r="C7" s="21">
        <v>238688163.15229252</v>
      </c>
      <c r="D7" s="21">
        <v>298055409.43232858</v>
      </c>
      <c r="E7" s="21">
        <v>312116473.99580336</v>
      </c>
      <c r="F7" s="21">
        <v>851680396.71865761</v>
      </c>
      <c r="G7" s="22">
        <v>0</v>
      </c>
      <c r="H7" s="22">
        <v>931037496.57156873</v>
      </c>
      <c r="I7" s="22">
        <v>704556520</v>
      </c>
      <c r="J7" s="22">
        <f>MUNICIPIOS!M7</f>
        <v>1025556521</v>
      </c>
      <c r="K7" s="22">
        <f>MUNICIPIOS!N7</f>
        <v>1700540442.9561899</v>
      </c>
      <c r="L7" s="22">
        <f t="shared" si="0"/>
        <v>674983921.95618987</v>
      </c>
      <c r="M7" s="89">
        <f t="shared" si="1"/>
        <v>0.60307681904770838</v>
      </c>
    </row>
    <row r="8" spans="1:14" x14ac:dyDescent="0.25">
      <c r="A8" s="87" t="s">
        <v>0</v>
      </c>
      <c r="B8" s="88" t="s">
        <v>156</v>
      </c>
      <c r="C8" s="21">
        <v>33026136.748452008</v>
      </c>
      <c r="D8" s="21">
        <v>401887146.67411751</v>
      </c>
      <c r="E8" s="21">
        <v>29669804.431037236</v>
      </c>
      <c r="F8" s="21">
        <v>1132675806.7401607</v>
      </c>
      <c r="G8" s="22">
        <v>0</v>
      </c>
      <c r="H8" s="22">
        <v>929876488.93695831</v>
      </c>
      <c r="I8" s="22">
        <v>0</v>
      </c>
      <c r="J8" s="22">
        <f>MUNICIPIOS!M8</f>
        <v>1070000000</v>
      </c>
      <c r="K8" s="22">
        <f>MUNICIPIOS!N8</f>
        <v>1591324933.5595279</v>
      </c>
      <c r="L8" s="22">
        <f t="shared" si="0"/>
        <v>521324933.55952787</v>
      </c>
      <c r="M8" s="89">
        <f t="shared" si="1"/>
        <v>0.67239567321212579</v>
      </c>
    </row>
    <row r="9" spans="1:14" x14ac:dyDescent="0.25">
      <c r="A9" s="87" t="s">
        <v>0</v>
      </c>
      <c r="B9" s="88" t="s">
        <v>6</v>
      </c>
      <c r="C9" s="21">
        <v>0</v>
      </c>
      <c r="D9" s="21">
        <v>167133879.36515903</v>
      </c>
      <c r="E9" s="21">
        <v>0</v>
      </c>
      <c r="F9" s="21">
        <v>461214624.64303488</v>
      </c>
      <c r="G9" s="22">
        <v>1085810606</v>
      </c>
      <c r="H9" s="22">
        <v>368971699.71442795</v>
      </c>
      <c r="I9" s="22">
        <v>1529522183</v>
      </c>
      <c r="J9" s="22">
        <f>MUNICIPIOS!M9</f>
        <v>443711577</v>
      </c>
      <c r="K9" s="22">
        <f>MUNICIPIOS!N9</f>
        <v>628348503.87958694</v>
      </c>
      <c r="L9" s="22">
        <f t="shared" si="0"/>
        <v>184636926.87958694</v>
      </c>
      <c r="M9" s="89">
        <f t="shared" si="1"/>
        <v>0.70615522160140343</v>
      </c>
    </row>
    <row r="10" spans="1:14" x14ac:dyDescent="0.25">
      <c r="A10" s="87" t="s">
        <v>0</v>
      </c>
      <c r="B10" s="88" t="s">
        <v>161</v>
      </c>
      <c r="C10" s="21">
        <v>4542321.5726660592</v>
      </c>
      <c r="D10" s="21">
        <v>452797141.75054753</v>
      </c>
      <c r="E10" s="21">
        <v>3614289.7080544443</v>
      </c>
      <c r="F10" s="21">
        <v>1272992618.5618474</v>
      </c>
      <c r="G10" s="22">
        <v>437810606</v>
      </c>
      <c r="H10" s="22">
        <v>1021285526.6159216</v>
      </c>
      <c r="I10" s="22">
        <v>1223602820</v>
      </c>
      <c r="J10" s="22">
        <f>MUNICIPIOS!M10</f>
        <v>785792214</v>
      </c>
      <c r="K10" s="22">
        <f>MUNICIPIOS!N10</f>
        <v>1733223513.3391352</v>
      </c>
      <c r="L10" s="22">
        <f t="shared" si="0"/>
        <v>947431299.33913517</v>
      </c>
      <c r="M10" s="89">
        <f t="shared" si="1"/>
        <v>0.45337038642300381</v>
      </c>
    </row>
    <row r="11" spans="1:14" x14ac:dyDescent="0.25">
      <c r="A11" s="87" t="s">
        <v>11</v>
      </c>
      <c r="B11" s="88" t="s">
        <v>12</v>
      </c>
      <c r="C11" s="21">
        <v>0</v>
      </c>
      <c r="D11" s="21">
        <v>304752333.27996975</v>
      </c>
      <c r="E11" s="21">
        <v>0</v>
      </c>
      <c r="F11" s="21">
        <v>837606521.84398103</v>
      </c>
      <c r="G11" s="22">
        <v>1619314880</v>
      </c>
      <c r="H11" s="22">
        <v>670085217.47518492</v>
      </c>
      <c r="I11" s="22">
        <v>2035839567</v>
      </c>
      <c r="J11" s="22">
        <f>MUNICIPIOS!M11</f>
        <v>416524687</v>
      </c>
      <c r="K11" s="22">
        <f>MUNICIPIOS!N11</f>
        <v>1142358854.7551546</v>
      </c>
      <c r="L11" s="22">
        <f t="shared" si="0"/>
        <v>725834167.75515461</v>
      </c>
      <c r="M11" s="89">
        <f t="shared" si="1"/>
        <v>0.36461807536763485</v>
      </c>
    </row>
    <row r="12" spans="1:14" x14ac:dyDescent="0.25">
      <c r="A12" s="87" t="s">
        <v>11</v>
      </c>
      <c r="B12" s="88" t="s">
        <v>13</v>
      </c>
      <c r="C12" s="21">
        <v>145887.4095375</v>
      </c>
      <c r="D12" s="21">
        <v>0</v>
      </c>
      <c r="E12" s="21">
        <v>0</v>
      </c>
      <c r="F12" s="21">
        <v>0</v>
      </c>
      <c r="G12" s="22">
        <v>0</v>
      </c>
      <c r="H12" s="22">
        <v>0</v>
      </c>
      <c r="I12" s="22">
        <v>0</v>
      </c>
      <c r="J12" s="22">
        <f>MUNICIPIOS!M12</f>
        <v>0</v>
      </c>
      <c r="K12" s="22">
        <f>MUNICIPIOS!N12</f>
        <v>145887.4095375</v>
      </c>
      <c r="L12" s="22">
        <f t="shared" si="0"/>
        <v>145887.4095375</v>
      </c>
      <c r="M12" s="89">
        <f t="shared" si="1"/>
        <v>0</v>
      </c>
    </row>
    <row r="13" spans="1:14" x14ac:dyDescent="0.25">
      <c r="A13" s="87" t="s">
        <v>11</v>
      </c>
      <c r="B13" s="88" t="s">
        <v>14</v>
      </c>
      <c r="C13" s="21">
        <v>0</v>
      </c>
      <c r="D13" s="21">
        <v>78957332.753730237</v>
      </c>
      <c r="E13" s="21">
        <v>0</v>
      </c>
      <c r="F13" s="21">
        <v>216349371.7743772</v>
      </c>
      <c r="G13" s="22">
        <v>0</v>
      </c>
      <c r="H13" s="22">
        <v>173079497.41950178</v>
      </c>
      <c r="I13" s="22">
        <v>0</v>
      </c>
      <c r="J13" s="22">
        <f>MUNICIPIOS!M13</f>
        <v>0</v>
      </c>
      <c r="K13" s="22">
        <f>MUNICIPIOS!N13</f>
        <v>295306704.37323201</v>
      </c>
      <c r="L13" s="22">
        <f t="shared" si="0"/>
        <v>295306704.37323201</v>
      </c>
      <c r="M13" s="89">
        <f t="shared" si="1"/>
        <v>0</v>
      </c>
    </row>
    <row r="14" spans="1:14" x14ac:dyDescent="0.25">
      <c r="A14" s="87" t="s">
        <v>11</v>
      </c>
      <c r="B14" s="88" t="s">
        <v>15</v>
      </c>
      <c r="C14" s="21">
        <v>4271829.9721073592</v>
      </c>
      <c r="D14" s="21">
        <v>82325035.973160371</v>
      </c>
      <c r="E14" s="21">
        <v>2766015.8243402662</v>
      </c>
      <c r="F14" s="21">
        <v>223116250.0335395</v>
      </c>
      <c r="G14" s="22">
        <v>1161332000</v>
      </c>
      <c r="H14" s="22">
        <v>175292310.07897398</v>
      </c>
      <c r="I14" s="22">
        <v>1426965637</v>
      </c>
      <c r="J14" s="22">
        <f>MUNICIPIOS!M14</f>
        <v>265633637</v>
      </c>
      <c r="K14" s="22">
        <f>MUNICIPIOS!N14</f>
        <v>306512425.82424176</v>
      </c>
      <c r="L14" s="22">
        <f t="shared" si="0"/>
        <v>40878788.824241757</v>
      </c>
      <c r="M14" s="89">
        <f t="shared" si="1"/>
        <v>0.8666325232514972</v>
      </c>
    </row>
    <row r="15" spans="1:14" x14ac:dyDescent="0.25">
      <c r="A15" s="87" t="s">
        <v>11</v>
      </c>
      <c r="B15" s="88" t="s">
        <v>16</v>
      </c>
      <c r="C15" s="21">
        <v>0</v>
      </c>
      <c r="D15" s="21">
        <v>66221291.487521723</v>
      </c>
      <c r="E15" s="21">
        <v>0</v>
      </c>
      <c r="F15" s="21">
        <v>181361886.42682585</v>
      </c>
      <c r="G15" s="22">
        <v>0</v>
      </c>
      <c r="H15" s="22">
        <v>145089509.14146069</v>
      </c>
      <c r="I15" s="22">
        <v>0</v>
      </c>
      <c r="J15" s="22">
        <f>MUNICIPIOS!M15</f>
        <v>0</v>
      </c>
      <c r="K15" s="22">
        <f>MUNICIPIOS!N15</f>
        <v>247583177.82898241</v>
      </c>
      <c r="L15" s="22">
        <f t="shared" si="0"/>
        <v>247583177.82898241</v>
      </c>
      <c r="M15" s="89">
        <f t="shared" si="1"/>
        <v>0</v>
      </c>
    </row>
    <row r="16" spans="1:14" x14ac:dyDescent="0.25">
      <c r="A16" s="87" t="s">
        <v>11</v>
      </c>
      <c r="B16" s="88" t="s">
        <v>17</v>
      </c>
      <c r="C16" s="21">
        <v>16395.506883203852</v>
      </c>
      <c r="D16" s="21">
        <v>414944551.96555352</v>
      </c>
      <c r="E16" s="21">
        <v>22692.143036317797</v>
      </c>
      <c r="F16" s="21">
        <v>1175743996.6070304</v>
      </c>
      <c r="G16" s="22">
        <v>0</v>
      </c>
      <c r="H16" s="22">
        <v>940613351.00005341</v>
      </c>
      <c r="I16" s="22">
        <v>414944522</v>
      </c>
      <c r="J16" s="22">
        <f>MUNICIPIOS!M16</f>
        <v>414944552</v>
      </c>
      <c r="K16" s="22">
        <f>MUNICIPIOS!N16</f>
        <v>1590727635.8724902</v>
      </c>
      <c r="L16" s="22">
        <f t="shared" si="0"/>
        <v>1175783083.8724902</v>
      </c>
      <c r="M16" s="89">
        <f t="shared" si="1"/>
        <v>0.26085204194771477</v>
      </c>
    </row>
    <row r="17" spans="1:13" x14ac:dyDescent="0.25">
      <c r="A17" s="87" t="s">
        <v>11</v>
      </c>
      <c r="B17" s="88" t="s">
        <v>18</v>
      </c>
      <c r="C17" s="21">
        <v>0</v>
      </c>
      <c r="D17" s="21">
        <v>276886435.60478336</v>
      </c>
      <c r="E17" s="21">
        <v>0</v>
      </c>
      <c r="F17" s="21">
        <v>768140995.58360016</v>
      </c>
      <c r="G17" s="22">
        <v>1144950685</v>
      </c>
      <c r="H17" s="22">
        <v>614512796.4668802</v>
      </c>
      <c r="I17" s="22">
        <v>1601837120</v>
      </c>
      <c r="J17" s="22">
        <f>MUNICIPIOS!M17</f>
        <v>846674552</v>
      </c>
      <c r="K17" s="22">
        <f>MUNICIPIOS!N17</f>
        <v>1045027431.0716636</v>
      </c>
      <c r="L17" s="22">
        <f t="shared" si="0"/>
        <v>198352879.07166362</v>
      </c>
      <c r="M17" s="89">
        <f t="shared" si="1"/>
        <v>0.81019361485252595</v>
      </c>
    </row>
    <row r="18" spans="1:13" x14ac:dyDescent="0.25">
      <c r="A18" s="87" t="s">
        <v>11</v>
      </c>
      <c r="B18" s="88" t="s">
        <v>19</v>
      </c>
      <c r="C18" s="21">
        <v>0</v>
      </c>
      <c r="D18" s="21">
        <v>492253613.29629487</v>
      </c>
      <c r="E18" s="21">
        <v>0</v>
      </c>
      <c r="F18" s="21">
        <v>1370840806.3975556</v>
      </c>
      <c r="G18" s="22">
        <v>973810606</v>
      </c>
      <c r="H18" s="22">
        <v>1096672645.1180446</v>
      </c>
      <c r="I18" s="22">
        <v>1171132756</v>
      </c>
      <c r="J18" s="22">
        <f>MUNICIPIOS!M18</f>
        <v>373322150</v>
      </c>
      <c r="K18" s="22">
        <f>MUNICIPIOS!N18</f>
        <v>1863094419.4143395</v>
      </c>
      <c r="L18" s="22">
        <f t="shared" si="0"/>
        <v>1489772269.4143395</v>
      </c>
      <c r="M18" s="89">
        <f t="shared" si="1"/>
        <v>0.20037747207538367</v>
      </c>
    </row>
    <row r="19" spans="1:13" x14ac:dyDescent="0.25">
      <c r="A19" s="87" t="s">
        <v>21</v>
      </c>
      <c r="B19" s="88" t="s">
        <v>22</v>
      </c>
      <c r="C19" s="21">
        <v>3394626.0917727277</v>
      </c>
      <c r="D19" s="21">
        <v>509319188.71308887</v>
      </c>
      <c r="E19" s="21">
        <v>3226367.9436036847</v>
      </c>
      <c r="F19" s="21">
        <v>1384507936.035511</v>
      </c>
      <c r="G19" s="22">
        <v>169279283</v>
      </c>
      <c r="H19" s="22">
        <v>1110187443.1832919</v>
      </c>
      <c r="I19" s="22">
        <v>742644969</v>
      </c>
      <c r="J19" s="22">
        <f>MUNICIPIOS!M19</f>
        <v>573365686</v>
      </c>
      <c r="K19" s="22">
        <f>MUNICIPIOS!N19</f>
        <v>1900448118.3881536</v>
      </c>
      <c r="L19" s="22">
        <f t="shared" si="0"/>
        <v>1327082432.3881536</v>
      </c>
      <c r="M19" s="89">
        <f t="shared" si="1"/>
        <v>0.30170025714056037</v>
      </c>
    </row>
    <row r="20" spans="1:13" x14ac:dyDescent="0.25">
      <c r="A20" s="87" t="s">
        <v>21</v>
      </c>
      <c r="B20" s="88" t="s">
        <v>23</v>
      </c>
      <c r="C20" s="21">
        <v>1236841011.6393452</v>
      </c>
      <c r="D20" s="21">
        <v>712900648.77325296</v>
      </c>
      <c r="E20" s="21">
        <v>812956915.78994548</v>
      </c>
      <c r="F20" s="21">
        <v>2006775270.2889977</v>
      </c>
      <c r="G20" s="22">
        <v>0</v>
      </c>
      <c r="H20" s="22">
        <v>2255785748.8631549</v>
      </c>
      <c r="I20" s="22">
        <v>1781174182</v>
      </c>
      <c r="J20" s="22">
        <f>MUNICIPIOS!M20</f>
        <v>1781174677</v>
      </c>
      <c r="K20" s="22">
        <f>MUNICIPIOS!N20</f>
        <v>4769473846.275753</v>
      </c>
      <c r="L20" s="22">
        <f t="shared" si="0"/>
        <v>2988299169.275753</v>
      </c>
      <c r="M20" s="89">
        <f t="shared" si="1"/>
        <v>0.37345307562401908</v>
      </c>
    </row>
    <row r="21" spans="1:13" x14ac:dyDescent="0.25">
      <c r="A21" s="87" t="s">
        <v>21</v>
      </c>
      <c r="B21" s="88" t="s">
        <v>24</v>
      </c>
      <c r="C21" s="21">
        <v>72344720.090429515</v>
      </c>
      <c r="D21" s="21">
        <v>459846363.38417053</v>
      </c>
      <c r="E21" s="21">
        <v>15007693.348147342</v>
      </c>
      <c r="F21" s="21">
        <v>1293621820.5587628</v>
      </c>
      <c r="G21" s="22">
        <v>176031174</v>
      </c>
      <c r="H21" s="22">
        <v>1046903611.1255282</v>
      </c>
      <c r="I21" s="22">
        <v>206031174</v>
      </c>
      <c r="J21" s="22">
        <f>MUNICIPIOS!M21</f>
        <v>30000000</v>
      </c>
      <c r="K21" s="22">
        <f>MUNICIPIOS!N21</f>
        <v>1840820597.0001283</v>
      </c>
      <c r="L21" s="22">
        <f t="shared" si="0"/>
        <v>1810820597.0001283</v>
      </c>
      <c r="M21" s="89">
        <f t="shared" si="1"/>
        <v>1.62970797093911E-2</v>
      </c>
    </row>
    <row r="22" spans="1:13" x14ac:dyDescent="0.25">
      <c r="A22" s="87" t="s">
        <v>25</v>
      </c>
      <c r="B22" s="88" t="s">
        <v>26</v>
      </c>
      <c r="C22" s="21">
        <v>0</v>
      </c>
      <c r="D22" s="21">
        <v>227183585.8893567</v>
      </c>
      <c r="E22" s="21">
        <v>0</v>
      </c>
      <c r="F22" s="21">
        <v>628910510.71827412</v>
      </c>
      <c r="G22" s="22">
        <v>1148031174</v>
      </c>
      <c r="H22" s="22">
        <v>503128408.57461929</v>
      </c>
      <c r="I22" s="22">
        <v>1418031174</v>
      </c>
      <c r="J22" s="22">
        <f>MUNICIPIOS!M22</f>
        <v>270000000</v>
      </c>
      <c r="K22" s="22">
        <f>MUNICIPIOS!N22</f>
        <v>856094096.46397591</v>
      </c>
      <c r="L22" s="22">
        <f t="shared" si="0"/>
        <v>586094096.46397591</v>
      </c>
      <c r="M22" s="89">
        <f t="shared" si="1"/>
        <v>0.31538589170888121</v>
      </c>
    </row>
    <row r="23" spans="1:13" x14ac:dyDescent="0.25">
      <c r="A23" s="87" t="s">
        <v>25</v>
      </c>
      <c r="B23" s="88" t="s">
        <v>27</v>
      </c>
      <c r="C23" s="21">
        <v>0</v>
      </c>
      <c r="D23" s="21">
        <v>214767618.9482038</v>
      </c>
      <c r="E23" s="21">
        <v>0</v>
      </c>
      <c r="F23" s="21">
        <v>583396971.5470376</v>
      </c>
      <c r="G23" s="22">
        <v>1741786292</v>
      </c>
      <c r="H23" s="22">
        <v>466717577.23763013</v>
      </c>
      <c r="I23" s="22">
        <v>2034786292</v>
      </c>
      <c r="J23" s="22">
        <f>MUNICIPIOS!M23</f>
        <v>293000000</v>
      </c>
      <c r="K23" s="22">
        <f>MUNICIPIOS!N23</f>
        <v>798164590.38583398</v>
      </c>
      <c r="L23" s="22">
        <f t="shared" si="0"/>
        <v>505164590.38583398</v>
      </c>
      <c r="M23" s="89">
        <f t="shared" si="1"/>
        <v>0.36709220570454443</v>
      </c>
    </row>
    <row r="24" spans="1:13" x14ac:dyDescent="0.25">
      <c r="A24" s="87" t="s">
        <v>25</v>
      </c>
      <c r="B24" s="88" t="s">
        <v>28</v>
      </c>
      <c r="C24" s="21">
        <v>0</v>
      </c>
      <c r="D24" s="21">
        <v>372847733.58624297</v>
      </c>
      <c r="E24" s="21">
        <v>0</v>
      </c>
      <c r="F24" s="21">
        <v>1038651385.3627254</v>
      </c>
      <c r="G24" s="22">
        <v>1944000000</v>
      </c>
      <c r="H24" s="22">
        <v>830921108.29018033</v>
      </c>
      <c r="I24" s="22">
        <v>2424000000</v>
      </c>
      <c r="J24" s="22">
        <f>MUNICIPIOS!M24</f>
        <v>673000000</v>
      </c>
      <c r="K24" s="22">
        <f>MUNICIPIOS!N24</f>
        <v>1411499118.6764233</v>
      </c>
      <c r="L24" s="22">
        <f t="shared" si="0"/>
        <v>738499118.67642331</v>
      </c>
      <c r="M24" s="89">
        <f t="shared" si="1"/>
        <v>0.47679803061519355</v>
      </c>
    </row>
    <row r="25" spans="1:13" x14ac:dyDescent="0.25">
      <c r="A25" s="87" t="s">
        <v>25</v>
      </c>
      <c r="B25" s="88" t="s">
        <v>29</v>
      </c>
      <c r="C25" s="21">
        <v>0</v>
      </c>
      <c r="D25" s="21">
        <v>246274666.99632907</v>
      </c>
      <c r="E25" s="21">
        <v>0</v>
      </c>
      <c r="F25" s="21">
        <v>694029200.34624827</v>
      </c>
      <c r="G25" s="22">
        <v>1506886292</v>
      </c>
      <c r="H25" s="22">
        <v>555223360.27699864</v>
      </c>
      <c r="I25" s="22">
        <v>1795386292</v>
      </c>
      <c r="J25" s="22">
        <f>MUNICIPIOS!M25</f>
        <v>288500000</v>
      </c>
      <c r="K25" s="22">
        <f>MUNICIPIOS!N25</f>
        <v>940303867.07332778</v>
      </c>
      <c r="L25" s="22">
        <f t="shared" si="0"/>
        <v>651803867.07332778</v>
      </c>
      <c r="M25" s="89">
        <f t="shared" si="1"/>
        <v>0.30681571149754922</v>
      </c>
    </row>
    <row r="26" spans="1:13" x14ac:dyDescent="0.25">
      <c r="A26" s="87" t="s">
        <v>25</v>
      </c>
      <c r="B26" s="88" t="s">
        <v>30</v>
      </c>
      <c r="C26" s="21">
        <v>0</v>
      </c>
      <c r="D26" s="21">
        <v>241494936.3169539</v>
      </c>
      <c r="E26" s="21">
        <v>0</v>
      </c>
      <c r="F26" s="21">
        <v>660800137.632447</v>
      </c>
      <c r="G26" s="22">
        <v>1371400000</v>
      </c>
      <c r="H26" s="22">
        <v>528640110.10595763</v>
      </c>
      <c r="I26" s="22">
        <v>1924946865</v>
      </c>
      <c r="J26" s="22">
        <f>MUNICIPIOS!M26</f>
        <v>665972252</v>
      </c>
      <c r="K26" s="22">
        <f>MUNICIPIOS!N26</f>
        <v>902295073.62291157</v>
      </c>
      <c r="L26" s="22">
        <f t="shared" si="0"/>
        <v>236322821.62291157</v>
      </c>
      <c r="M26" s="89">
        <f t="shared" si="1"/>
        <v>0.73808698669491357</v>
      </c>
    </row>
    <row r="27" spans="1:13" x14ac:dyDescent="0.25">
      <c r="A27" s="87" t="s">
        <v>25</v>
      </c>
      <c r="B27" s="88" t="s">
        <v>31</v>
      </c>
      <c r="C27" s="21">
        <v>0</v>
      </c>
      <c r="D27" s="21">
        <v>144535699.08117893</v>
      </c>
      <c r="E27" s="21">
        <v>0</v>
      </c>
      <c r="F27" s="21">
        <v>392929219.41084433</v>
      </c>
      <c r="G27" s="22">
        <v>1818000000</v>
      </c>
      <c r="H27" s="22">
        <v>314343375.5286755</v>
      </c>
      <c r="I27" s="22">
        <v>2178000000</v>
      </c>
      <c r="J27" s="22">
        <f>MUNICIPIOS!M27</f>
        <v>360000000</v>
      </c>
      <c r="K27" s="22">
        <f>MUNICIPIOS!N27</f>
        <v>537464918.40985441</v>
      </c>
      <c r="L27" s="22">
        <f t="shared" si="0"/>
        <v>177464918.40985441</v>
      </c>
      <c r="M27" s="89">
        <f t="shared" si="1"/>
        <v>0.66981115914522804</v>
      </c>
    </row>
    <row r="28" spans="1:13" x14ac:dyDescent="0.25">
      <c r="A28" s="87" t="s">
        <v>25</v>
      </c>
      <c r="B28" s="88" t="s">
        <v>32</v>
      </c>
      <c r="C28" s="21">
        <v>0</v>
      </c>
      <c r="D28" s="21">
        <v>279390330.68360168</v>
      </c>
      <c r="E28" s="21">
        <v>0</v>
      </c>
      <c r="F28" s="21">
        <v>784231568.99407291</v>
      </c>
      <c r="G28" s="22">
        <v>0</v>
      </c>
      <c r="H28" s="22">
        <v>627385255.19525838</v>
      </c>
      <c r="I28" s="22">
        <v>268076000</v>
      </c>
      <c r="J28" s="22">
        <f>MUNICIPIOS!M28</f>
        <v>252010000</v>
      </c>
      <c r="K28" s="22">
        <f>MUNICIPIOS!N28</f>
        <v>1063621899.47886</v>
      </c>
      <c r="L28" s="22">
        <f t="shared" si="0"/>
        <v>811611899.47886002</v>
      </c>
      <c r="M28" s="89">
        <f t="shared" si="1"/>
        <v>0.23693570066907862</v>
      </c>
    </row>
    <row r="29" spans="1:13" x14ac:dyDescent="0.25">
      <c r="A29" s="87" t="s">
        <v>25</v>
      </c>
      <c r="B29" s="88" t="s">
        <v>33</v>
      </c>
      <c r="C29" s="21">
        <v>0</v>
      </c>
      <c r="D29" s="21">
        <v>314963874.99245691</v>
      </c>
      <c r="E29" s="21">
        <v>0</v>
      </c>
      <c r="F29" s="21">
        <v>875291571.75009882</v>
      </c>
      <c r="G29" s="22">
        <v>972000000</v>
      </c>
      <c r="H29" s="22">
        <v>700233257.40007913</v>
      </c>
      <c r="I29" s="22">
        <v>1212000000</v>
      </c>
      <c r="J29" s="22">
        <f>MUNICIPIOS!M29</f>
        <v>240000000</v>
      </c>
      <c r="K29" s="22">
        <f>MUNICIPIOS!N29</f>
        <v>1190255446.592536</v>
      </c>
      <c r="L29" s="22">
        <f t="shared" si="0"/>
        <v>950255446.59253597</v>
      </c>
      <c r="M29" s="89">
        <f t="shared" si="1"/>
        <v>0.20163738858500682</v>
      </c>
    </row>
    <row r="30" spans="1:13" x14ac:dyDescent="0.25">
      <c r="A30" s="87" t="s">
        <v>25</v>
      </c>
      <c r="B30" s="88" t="s">
        <v>34</v>
      </c>
      <c r="C30" s="21">
        <v>0</v>
      </c>
      <c r="D30" s="21">
        <v>225658012.95329931</v>
      </c>
      <c r="E30" s="21">
        <v>0</v>
      </c>
      <c r="F30" s="21">
        <v>625754611.9473598</v>
      </c>
      <c r="G30" s="22">
        <v>2020006383</v>
      </c>
      <c r="H30" s="22">
        <v>500603689.55788785</v>
      </c>
      <c r="I30" s="22">
        <v>2407831174</v>
      </c>
      <c r="J30" s="22">
        <f>MUNICIPIOS!M30</f>
        <v>387824791</v>
      </c>
      <c r="K30" s="22">
        <f>MUNICIPIOS!N30</f>
        <v>851412624.71118712</v>
      </c>
      <c r="L30" s="22">
        <f t="shared" si="0"/>
        <v>463587833.71118712</v>
      </c>
      <c r="M30" s="89">
        <f t="shared" si="1"/>
        <v>0.4555074469697421</v>
      </c>
    </row>
    <row r="31" spans="1:13" x14ac:dyDescent="0.25">
      <c r="A31" s="87" t="s">
        <v>25</v>
      </c>
      <c r="B31" s="88" t="s">
        <v>159</v>
      </c>
      <c r="C31" s="21">
        <v>0</v>
      </c>
      <c r="D31" s="21">
        <v>152495724.87255925</v>
      </c>
      <c r="E31" s="21">
        <v>0</v>
      </c>
      <c r="F31" s="21">
        <v>414737126.8146857</v>
      </c>
      <c r="G31" s="22">
        <v>0</v>
      </c>
      <c r="H31" s="22">
        <v>331789701.45174861</v>
      </c>
      <c r="I31" s="22">
        <v>483681412</v>
      </c>
      <c r="J31" s="22">
        <f>MUNICIPIOS!M31</f>
        <v>483681412</v>
      </c>
      <c r="K31" s="22">
        <f>MUNICIPIOS!N31</f>
        <v>567232851.32430792</v>
      </c>
      <c r="L31" s="22">
        <f t="shared" si="0"/>
        <v>83551439.324307919</v>
      </c>
      <c r="M31" s="89">
        <f t="shared" si="1"/>
        <v>0.85270345479948506</v>
      </c>
    </row>
    <row r="32" spans="1:13" x14ac:dyDescent="0.25">
      <c r="A32" s="87" t="s">
        <v>25</v>
      </c>
      <c r="B32" s="88" t="s">
        <v>36</v>
      </c>
      <c r="C32" s="21">
        <v>0</v>
      </c>
      <c r="D32" s="21">
        <v>234575836.97521561</v>
      </c>
      <c r="E32" s="21">
        <v>0</v>
      </c>
      <c r="F32" s="21">
        <v>637271776.70904052</v>
      </c>
      <c r="G32" s="22">
        <v>1592000000</v>
      </c>
      <c r="H32" s="22">
        <v>509817421.36723244</v>
      </c>
      <c r="I32" s="22">
        <v>2274487619</v>
      </c>
      <c r="J32" s="22">
        <f>MUNICIPIOS!M32</f>
        <v>682487619</v>
      </c>
      <c r="K32" s="22">
        <f>MUNICIPIOS!N32</f>
        <v>871847613.54244804</v>
      </c>
      <c r="L32" s="22">
        <f t="shared" si="0"/>
        <v>189359994.54244804</v>
      </c>
      <c r="M32" s="89">
        <f t="shared" si="1"/>
        <v>0.78280608720938072</v>
      </c>
    </row>
    <row r="33" spans="1:13" x14ac:dyDescent="0.25">
      <c r="A33" s="87" t="s">
        <v>25</v>
      </c>
      <c r="B33" s="88" t="s">
        <v>37</v>
      </c>
      <c r="C33" s="21">
        <v>0</v>
      </c>
      <c r="D33" s="21">
        <v>496553306.85539991</v>
      </c>
      <c r="E33" s="21">
        <v>0</v>
      </c>
      <c r="F33" s="21">
        <v>1379322802.9120202</v>
      </c>
      <c r="G33" s="22">
        <v>2916000000</v>
      </c>
      <c r="H33" s="22">
        <v>1103458242.3296163</v>
      </c>
      <c r="I33" s="22">
        <v>3636000000</v>
      </c>
      <c r="J33" s="22">
        <f>MUNICIPIOS!M33</f>
        <v>1366462640</v>
      </c>
      <c r="K33" s="22">
        <f>MUNICIPIOS!N33</f>
        <v>1875876109.5850163</v>
      </c>
      <c r="L33" s="22">
        <f t="shared" si="0"/>
        <v>509413469.58501625</v>
      </c>
      <c r="M33" s="89">
        <f t="shared" si="1"/>
        <v>0.72843970506255373</v>
      </c>
    </row>
    <row r="34" spans="1:13" x14ac:dyDescent="0.25">
      <c r="A34" s="87" t="s">
        <v>47</v>
      </c>
      <c r="B34" s="88" t="s">
        <v>151</v>
      </c>
      <c r="C34" s="21">
        <v>94261500.093251601</v>
      </c>
      <c r="D34" s="21">
        <v>247918077.43792874</v>
      </c>
      <c r="E34" s="21">
        <v>46705674.056917459</v>
      </c>
      <c r="F34" s="21">
        <v>684416905.21069467</v>
      </c>
      <c r="G34" s="22">
        <v>1032000000</v>
      </c>
      <c r="H34" s="22">
        <v>584898063.41408968</v>
      </c>
      <c r="I34" s="22">
        <v>2206077164</v>
      </c>
      <c r="J34" s="22">
        <f>MUNICIPIOS!M34</f>
        <v>927077638</v>
      </c>
      <c r="K34" s="22">
        <f>MUNICIPIOS!N34</f>
        <v>1063961021.74527</v>
      </c>
      <c r="L34" s="22">
        <f t="shared" si="0"/>
        <v>136883383.74527001</v>
      </c>
      <c r="M34" s="89">
        <f t="shared" si="1"/>
        <v>0.87134549015645968</v>
      </c>
    </row>
    <row r="35" spans="1:13" x14ac:dyDescent="0.25">
      <c r="A35" s="87" t="s">
        <v>47</v>
      </c>
      <c r="B35" s="88" t="s">
        <v>49</v>
      </c>
      <c r="C35" s="21">
        <v>0</v>
      </c>
      <c r="D35" s="21">
        <v>332943386.46638864</v>
      </c>
      <c r="E35" s="21">
        <v>0</v>
      </c>
      <c r="F35" s="21">
        <v>912081594.06719172</v>
      </c>
      <c r="G35" s="22">
        <v>2276843940</v>
      </c>
      <c r="H35" s="22">
        <v>729665275.25375342</v>
      </c>
      <c r="I35" s="22">
        <v>3328975966</v>
      </c>
      <c r="J35" s="22">
        <f>MUNICIPIOS!M35</f>
        <v>1052132026</v>
      </c>
      <c r="K35" s="22">
        <f>MUNICIPIOS!N35</f>
        <v>1245024980.320142</v>
      </c>
      <c r="L35" s="22">
        <f t="shared" si="0"/>
        <v>192892954.32014203</v>
      </c>
      <c r="M35" s="89">
        <f t="shared" si="1"/>
        <v>0.84506900875953339</v>
      </c>
    </row>
    <row r="36" spans="1:13" x14ac:dyDescent="0.25">
      <c r="A36" s="87" t="s">
        <v>47</v>
      </c>
      <c r="B36" s="88" t="s">
        <v>50</v>
      </c>
      <c r="C36" s="21">
        <v>0</v>
      </c>
      <c r="D36" s="21">
        <v>181656298.26362002</v>
      </c>
      <c r="E36" s="21">
        <v>0</v>
      </c>
      <c r="F36" s="21">
        <v>504481369.31322747</v>
      </c>
      <c r="G36" s="22">
        <v>0</v>
      </c>
      <c r="H36" s="22">
        <v>403585095.45058203</v>
      </c>
      <c r="I36" s="22">
        <v>0</v>
      </c>
      <c r="J36" s="22">
        <f>MUNICIPIOS!M36</f>
        <v>0</v>
      </c>
      <c r="K36" s="22">
        <f>MUNICIPIOS!N36</f>
        <v>686137667.31420207</v>
      </c>
      <c r="L36" s="22">
        <f t="shared" ref="L36:L67" si="2">K36-J36</f>
        <v>686137667.31420207</v>
      </c>
      <c r="M36" s="89">
        <f t="shared" ref="M36:M68" si="3">J36/K36</f>
        <v>0</v>
      </c>
    </row>
    <row r="37" spans="1:13" x14ac:dyDescent="0.25">
      <c r="A37" s="87" t="s">
        <v>47</v>
      </c>
      <c r="B37" s="88" t="s">
        <v>51</v>
      </c>
      <c r="C37" s="21">
        <v>0</v>
      </c>
      <c r="D37" s="21">
        <v>333045374.08765727</v>
      </c>
      <c r="E37" s="21">
        <v>0</v>
      </c>
      <c r="F37" s="21">
        <v>936172131.23795629</v>
      </c>
      <c r="G37" s="22">
        <v>7575992</v>
      </c>
      <c r="H37" s="22">
        <v>748937704.99036503</v>
      </c>
      <c r="I37" s="22">
        <v>442563793</v>
      </c>
      <c r="J37" s="22">
        <f>MUNICIPIOS!M37</f>
        <v>434987801</v>
      </c>
      <c r="K37" s="22">
        <f>MUNICIPIOS!N37</f>
        <v>1269217505.0780222</v>
      </c>
      <c r="L37" s="22">
        <f t="shared" si="2"/>
        <v>834229704.07802224</v>
      </c>
      <c r="M37" s="89">
        <f t="shared" si="3"/>
        <v>0.34272124301757101</v>
      </c>
    </row>
    <row r="38" spans="1:13" x14ac:dyDescent="0.25">
      <c r="A38" s="87" t="s">
        <v>47</v>
      </c>
      <c r="B38" s="88" t="s">
        <v>52</v>
      </c>
      <c r="C38" s="21">
        <v>2087757.6068373737</v>
      </c>
      <c r="D38" s="21">
        <v>235475387.74173886</v>
      </c>
      <c r="E38" s="21">
        <v>1708832.0657151705</v>
      </c>
      <c r="F38" s="21">
        <v>653600008.74468172</v>
      </c>
      <c r="G38" s="22">
        <v>0</v>
      </c>
      <c r="H38" s="22">
        <v>524247072.64831758</v>
      </c>
      <c r="I38" s="22">
        <v>237563146</v>
      </c>
      <c r="J38" s="22">
        <f>MUNICIPIOS!M38</f>
        <v>237563146</v>
      </c>
      <c r="K38" s="22">
        <f>MUNICIPIOS!N38</f>
        <v>892871985.79689384</v>
      </c>
      <c r="L38" s="22">
        <f t="shared" si="2"/>
        <v>655308839.79689384</v>
      </c>
      <c r="M38" s="89">
        <f t="shared" si="3"/>
        <v>0.26606630040920526</v>
      </c>
    </row>
    <row r="39" spans="1:13" x14ac:dyDescent="0.25">
      <c r="A39" s="87" t="s">
        <v>47</v>
      </c>
      <c r="B39" s="88" t="s">
        <v>53</v>
      </c>
      <c r="C39" s="21">
        <v>0</v>
      </c>
      <c r="D39" s="21">
        <v>315339356.44961941</v>
      </c>
      <c r="E39" s="21">
        <v>0</v>
      </c>
      <c r="F39" s="21">
        <v>875548642.11840546</v>
      </c>
      <c r="G39" s="22">
        <v>204180983</v>
      </c>
      <c r="H39" s="22">
        <v>700438913.69472444</v>
      </c>
      <c r="I39" s="22">
        <v>519180983</v>
      </c>
      <c r="J39" s="22">
        <f>MUNICIPIOS!M39</f>
        <v>315000000</v>
      </c>
      <c r="K39" s="22">
        <f>MUNICIPIOS!N39</f>
        <v>1190887998.3443439</v>
      </c>
      <c r="L39" s="22">
        <f t="shared" si="2"/>
        <v>875887998.3443439</v>
      </c>
      <c r="M39" s="89">
        <f t="shared" si="3"/>
        <v>0.26450850158699651</v>
      </c>
    </row>
    <row r="40" spans="1:13" x14ac:dyDescent="0.25">
      <c r="A40" s="87" t="s">
        <v>47</v>
      </c>
      <c r="B40" s="88" t="s">
        <v>54</v>
      </c>
      <c r="C40" s="21">
        <v>0</v>
      </c>
      <c r="D40" s="21">
        <v>427220718.36554521</v>
      </c>
      <c r="E40" s="21">
        <v>0</v>
      </c>
      <c r="F40" s="21">
        <v>1197304555.3130658</v>
      </c>
      <c r="G40" s="22">
        <v>61476377</v>
      </c>
      <c r="H40" s="22">
        <v>957843644.25045264</v>
      </c>
      <c r="I40" s="22">
        <v>488476377</v>
      </c>
      <c r="J40" s="22">
        <f>MUNICIPIOS!M40</f>
        <v>427000000</v>
      </c>
      <c r="K40" s="22">
        <f>MUNICIPIOS!N40</f>
        <v>1624525273.415998</v>
      </c>
      <c r="L40" s="22">
        <f t="shared" si="2"/>
        <v>1197525273.415998</v>
      </c>
      <c r="M40" s="89">
        <f t="shared" si="3"/>
        <v>0.26284601845689881</v>
      </c>
    </row>
    <row r="41" spans="1:13" x14ac:dyDescent="0.25">
      <c r="A41" s="87" t="s">
        <v>47</v>
      </c>
      <c r="B41" s="88" t="s">
        <v>55</v>
      </c>
      <c r="C41" s="21">
        <v>98793790.314736143</v>
      </c>
      <c r="D41" s="21">
        <v>338790943.87467194</v>
      </c>
      <c r="E41" s="21">
        <v>47018364.769146174</v>
      </c>
      <c r="F41" s="21">
        <v>905040346.00501251</v>
      </c>
      <c r="G41" s="22">
        <v>0</v>
      </c>
      <c r="H41" s="22">
        <v>761646968.61932707</v>
      </c>
      <c r="I41" s="22">
        <v>0</v>
      </c>
      <c r="J41" s="22">
        <f>MUNICIPIOS!M41</f>
        <v>246740000</v>
      </c>
      <c r="K41" s="22">
        <f>MUNICIPIOS!N41</f>
        <v>1389643444.6087351</v>
      </c>
      <c r="L41" s="22">
        <f t="shared" si="2"/>
        <v>1142903444.6087351</v>
      </c>
      <c r="M41" s="89">
        <f t="shared" si="3"/>
        <v>0.17755633717213812</v>
      </c>
    </row>
    <row r="42" spans="1:13" x14ac:dyDescent="0.25">
      <c r="A42" s="87" t="s">
        <v>82</v>
      </c>
      <c r="B42" s="88" t="s">
        <v>83</v>
      </c>
      <c r="C42" s="21">
        <v>0</v>
      </c>
      <c r="D42" s="21">
        <v>135943732.39664716</v>
      </c>
      <c r="E42" s="21">
        <v>0</v>
      </c>
      <c r="F42" s="21">
        <v>380772476.62853259</v>
      </c>
      <c r="G42" s="22">
        <v>1994000000</v>
      </c>
      <c r="H42" s="22">
        <v>304617981.30282611</v>
      </c>
      <c r="I42" s="22">
        <v>2428000000</v>
      </c>
      <c r="J42" s="22">
        <f>MUNICIPIOS!M42</f>
        <v>434000000</v>
      </c>
      <c r="K42" s="22">
        <f>MUNICIPIOS!N42</f>
        <v>516716208.69947326</v>
      </c>
      <c r="L42" s="22">
        <f t="shared" si="2"/>
        <v>82716208.699473262</v>
      </c>
      <c r="M42" s="89">
        <f t="shared" si="3"/>
        <v>0.83991946196605238</v>
      </c>
    </row>
    <row r="43" spans="1:13" x14ac:dyDescent="0.25">
      <c r="A43" s="87" t="s">
        <v>82</v>
      </c>
      <c r="B43" s="88" t="s">
        <v>84</v>
      </c>
      <c r="C43" s="21">
        <v>0</v>
      </c>
      <c r="D43" s="21">
        <v>149385262.63217559</v>
      </c>
      <c r="E43" s="21">
        <v>0</v>
      </c>
      <c r="F43" s="21">
        <v>412164198.94004041</v>
      </c>
      <c r="G43" s="22">
        <v>1103132756</v>
      </c>
      <c r="H43" s="22">
        <v>329731359.15203238</v>
      </c>
      <c r="I43" s="22">
        <v>1373132756</v>
      </c>
      <c r="J43" s="22">
        <f>MUNICIPIOS!M43</f>
        <v>270000000</v>
      </c>
      <c r="K43" s="22">
        <f>MUNICIPIOS!N43</f>
        <v>561549461.38420796</v>
      </c>
      <c r="L43" s="22">
        <f t="shared" si="2"/>
        <v>291549461.38420796</v>
      </c>
      <c r="M43" s="89">
        <f t="shared" si="3"/>
        <v>0.4808124992844896</v>
      </c>
    </row>
    <row r="44" spans="1:13" x14ac:dyDescent="0.25">
      <c r="A44" s="87" t="s">
        <v>82</v>
      </c>
      <c r="B44" s="88" t="s">
        <v>85</v>
      </c>
      <c r="C44" s="21">
        <v>0</v>
      </c>
      <c r="D44" s="21">
        <v>122431319.76819202</v>
      </c>
      <c r="E44" s="21">
        <v>0</v>
      </c>
      <c r="F44" s="21">
        <v>331605240.70275646</v>
      </c>
      <c r="G44" s="22">
        <v>1178132756</v>
      </c>
      <c r="H44" s="22">
        <v>265284192.5622052</v>
      </c>
      <c r="I44" s="22">
        <v>1373132756</v>
      </c>
      <c r="J44" s="22">
        <f>MUNICIPIOS!M44</f>
        <v>195000000</v>
      </c>
      <c r="K44" s="22">
        <f>MUNICIPIOS!N44</f>
        <v>454036560.1303972</v>
      </c>
      <c r="L44" s="22">
        <f t="shared" si="2"/>
        <v>259036560.1303972</v>
      </c>
      <c r="M44" s="89">
        <f t="shared" si="3"/>
        <v>0.42948083287389216</v>
      </c>
    </row>
    <row r="45" spans="1:13" x14ac:dyDescent="0.25">
      <c r="A45" s="87" t="s">
        <v>82</v>
      </c>
      <c r="B45" s="88" t="s">
        <v>86</v>
      </c>
      <c r="C45" s="21">
        <v>0</v>
      </c>
      <c r="D45" s="21">
        <v>173445293.05923864</v>
      </c>
      <c r="E45" s="21">
        <v>0</v>
      </c>
      <c r="F45" s="21">
        <v>480405974.99290234</v>
      </c>
      <c r="G45" s="22">
        <v>877532756</v>
      </c>
      <c r="H45" s="22">
        <v>384324779.99432188</v>
      </c>
      <c r="I45" s="22">
        <v>1110532756</v>
      </c>
      <c r="J45" s="22">
        <f>MUNICIPIOS!M45</f>
        <v>233000000</v>
      </c>
      <c r="K45" s="22">
        <f>MUNICIPIOS!N45</f>
        <v>653851267.65356052</v>
      </c>
      <c r="L45" s="22">
        <f t="shared" si="2"/>
        <v>420851267.65356052</v>
      </c>
      <c r="M45" s="89">
        <f t="shared" si="3"/>
        <v>0.35635015412014737</v>
      </c>
    </row>
    <row r="46" spans="1:13" x14ac:dyDescent="0.25">
      <c r="A46" s="87" t="s">
        <v>82</v>
      </c>
      <c r="B46" s="88" t="s">
        <v>87</v>
      </c>
      <c r="C46" s="21">
        <v>256445411.21394414</v>
      </c>
      <c r="D46" s="21">
        <v>90621832.086483717</v>
      </c>
      <c r="E46" s="21">
        <v>316965525.08030111</v>
      </c>
      <c r="F46" s="21">
        <v>247441903.24939179</v>
      </c>
      <c r="G46" s="22">
        <v>1673101775</v>
      </c>
      <c r="H46" s="22">
        <v>451525942.66375428</v>
      </c>
      <c r="I46" s="22">
        <v>2214301378</v>
      </c>
      <c r="J46" s="22">
        <f>MUNICIPIOS!M46</f>
        <v>541199803</v>
      </c>
      <c r="K46" s="22">
        <f>MUNICIPIOS!N46</f>
        <v>848081566.56418216</v>
      </c>
      <c r="L46" s="22">
        <f t="shared" si="2"/>
        <v>306881763.56418216</v>
      </c>
      <c r="M46" s="89">
        <f t="shared" si="3"/>
        <v>0.63814593352447591</v>
      </c>
    </row>
    <row r="47" spans="1:13" x14ac:dyDescent="0.25">
      <c r="A47" s="87" t="s">
        <v>82</v>
      </c>
      <c r="B47" s="88" t="s">
        <v>154</v>
      </c>
      <c r="C47" s="21">
        <v>0</v>
      </c>
      <c r="D47" s="21">
        <v>340378878.84579241</v>
      </c>
      <c r="E47" s="21">
        <v>0</v>
      </c>
      <c r="F47" s="21">
        <v>941597212.14389753</v>
      </c>
      <c r="G47" s="22">
        <v>2321279283</v>
      </c>
      <c r="H47" s="22">
        <v>753277769.71511805</v>
      </c>
      <c r="I47" s="22">
        <v>2836279283</v>
      </c>
      <c r="J47" s="22">
        <f>MUNICIPIOS!M47</f>
        <v>515000000</v>
      </c>
      <c r="K47" s="22">
        <f>MUNICIPIOS!N47</f>
        <v>1281976090.7609105</v>
      </c>
      <c r="L47" s="22">
        <f t="shared" si="2"/>
        <v>766976090.76091051</v>
      </c>
      <c r="M47" s="89">
        <f t="shared" si="3"/>
        <v>0.40172356076806731</v>
      </c>
    </row>
    <row r="48" spans="1:13" x14ac:dyDescent="0.25">
      <c r="A48" s="87" t="s">
        <v>82</v>
      </c>
      <c r="B48" s="88" t="s">
        <v>89</v>
      </c>
      <c r="C48" s="21">
        <v>0</v>
      </c>
      <c r="D48" s="21">
        <v>196899820.68228543</v>
      </c>
      <c r="E48" s="21">
        <v>0</v>
      </c>
      <c r="F48" s="21">
        <v>546167850.71442342</v>
      </c>
      <c r="G48" s="22">
        <v>1340586292</v>
      </c>
      <c r="H48" s="22">
        <v>436934280.57153875</v>
      </c>
      <c r="I48" s="22">
        <v>1610586292</v>
      </c>
      <c r="J48" s="22">
        <f>MUNICIPIOS!M48</f>
        <v>331704764</v>
      </c>
      <c r="K48" s="22">
        <f>MUNICIPIOS!N48</f>
        <v>743067671.25382423</v>
      </c>
      <c r="L48" s="22">
        <f t="shared" si="2"/>
        <v>411362907.25382423</v>
      </c>
      <c r="M48" s="89">
        <f t="shared" si="3"/>
        <v>0.44639913272003068</v>
      </c>
    </row>
    <row r="49" spans="1:13" x14ac:dyDescent="0.25">
      <c r="A49" s="87" t="s">
        <v>68</v>
      </c>
      <c r="B49" s="88" t="s">
        <v>69</v>
      </c>
      <c r="C49" s="21">
        <v>0</v>
      </c>
      <c r="D49" s="21">
        <v>306889609.74152458</v>
      </c>
      <c r="E49" s="21">
        <v>0</v>
      </c>
      <c r="F49" s="21">
        <v>836592768.60988426</v>
      </c>
      <c r="G49" s="22">
        <v>0</v>
      </c>
      <c r="H49" s="22">
        <v>669274214.88790751</v>
      </c>
      <c r="I49" s="22">
        <v>0</v>
      </c>
      <c r="J49" s="22">
        <f>MUNICIPIOS!M49</f>
        <v>0</v>
      </c>
      <c r="K49" s="22">
        <f>MUNICIPIOS!N49</f>
        <v>1143482378.2294321</v>
      </c>
      <c r="L49" s="22">
        <f t="shared" si="2"/>
        <v>1143482378.2294321</v>
      </c>
      <c r="M49" s="89">
        <f t="shared" si="3"/>
        <v>0</v>
      </c>
    </row>
    <row r="50" spans="1:13" x14ac:dyDescent="0.25">
      <c r="A50" s="87" t="s">
        <v>68</v>
      </c>
      <c r="B50" s="88" t="s">
        <v>70</v>
      </c>
      <c r="C50" s="21">
        <v>0</v>
      </c>
      <c r="D50" s="21">
        <v>233871680.8475166</v>
      </c>
      <c r="E50" s="21">
        <v>0</v>
      </c>
      <c r="F50" s="21">
        <v>638450075.14092767</v>
      </c>
      <c r="G50" s="22">
        <v>40547593</v>
      </c>
      <c r="H50" s="22">
        <v>510760060.11274219</v>
      </c>
      <c r="I50" s="22">
        <v>274419274</v>
      </c>
      <c r="J50" s="22">
        <f>MUNICIPIOS!M50</f>
        <v>233871681</v>
      </c>
      <c r="K50" s="22">
        <f>MUNICIPIOS!N50</f>
        <v>872321755.96025872</v>
      </c>
      <c r="L50" s="22">
        <f t="shared" si="2"/>
        <v>638450074.96025872</v>
      </c>
      <c r="M50" s="89">
        <f t="shared" si="3"/>
        <v>0.26810254290007041</v>
      </c>
    </row>
    <row r="51" spans="1:13" x14ac:dyDescent="0.25">
      <c r="A51" s="87" t="s">
        <v>71</v>
      </c>
      <c r="B51" s="88" t="s">
        <v>148</v>
      </c>
      <c r="C51" s="21">
        <v>0</v>
      </c>
      <c r="D51" s="21">
        <v>452192340.9123925</v>
      </c>
      <c r="E51" s="21">
        <v>0</v>
      </c>
      <c r="F51" s="21">
        <v>1256592706.4755778</v>
      </c>
      <c r="G51" s="22">
        <v>140801554</v>
      </c>
      <c r="H51" s="22">
        <v>1005274165.1804624</v>
      </c>
      <c r="I51" s="22">
        <v>942000000</v>
      </c>
      <c r="J51" s="22">
        <f>MUNICIPIOS!M51</f>
        <v>801198446</v>
      </c>
      <c r="K51" s="22">
        <f>MUNICIPIOS!N51</f>
        <v>1708785047.2928548</v>
      </c>
      <c r="L51" s="22">
        <f t="shared" si="2"/>
        <v>907586601.29285479</v>
      </c>
      <c r="M51" s="89">
        <f t="shared" si="3"/>
        <v>0.46887023459697275</v>
      </c>
    </row>
    <row r="52" spans="1:13" x14ac:dyDescent="0.25">
      <c r="A52" s="87" t="s">
        <v>71</v>
      </c>
      <c r="B52" s="88" t="s">
        <v>73</v>
      </c>
      <c r="C52" s="21">
        <v>0</v>
      </c>
      <c r="D52" s="21">
        <v>298017079.19385135</v>
      </c>
      <c r="E52" s="21">
        <v>0</v>
      </c>
      <c r="F52" s="21">
        <v>824985554.18174708</v>
      </c>
      <c r="G52" s="22">
        <v>0</v>
      </c>
      <c r="H52" s="22">
        <v>659988443.34539771</v>
      </c>
      <c r="I52" s="22">
        <v>298017079</v>
      </c>
      <c r="J52" s="22">
        <f>MUNICIPIOS!M52</f>
        <v>298017079</v>
      </c>
      <c r="K52" s="22">
        <f>MUNICIPIOS!N52</f>
        <v>1123002633.1392491</v>
      </c>
      <c r="L52" s="22">
        <f t="shared" si="2"/>
        <v>824985554.13924909</v>
      </c>
      <c r="M52" s="89">
        <f t="shared" si="3"/>
        <v>0.26537522727522111</v>
      </c>
    </row>
    <row r="53" spans="1:13" x14ac:dyDescent="0.25">
      <c r="A53" s="87" t="s">
        <v>71</v>
      </c>
      <c r="B53" s="88" t="s">
        <v>74</v>
      </c>
      <c r="C53" s="21">
        <v>4280.513780246175</v>
      </c>
      <c r="D53" s="21">
        <v>318787879.84952527</v>
      </c>
      <c r="E53" s="21">
        <v>0</v>
      </c>
      <c r="F53" s="21">
        <v>878130087.61471105</v>
      </c>
      <c r="G53" s="22">
        <v>972000000</v>
      </c>
      <c r="H53" s="22">
        <v>702504070.09176886</v>
      </c>
      <c r="I53" s="22">
        <v>1445881537</v>
      </c>
      <c r="J53" s="22">
        <f>MUNICIPIOS!M53</f>
        <v>473881537</v>
      </c>
      <c r="K53" s="22">
        <f>MUNICIPIOS!N53</f>
        <v>1196922247.8550744</v>
      </c>
      <c r="L53" s="22">
        <f t="shared" si="2"/>
        <v>723040710.85507441</v>
      </c>
      <c r="M53" s="89">
        <f t="shared" si="3"/>
        <v>0.39591672545916157</v>
      </c>
    </row>
    <row r="54" spans="1:13" x14ac:dyDescent="0.25">
      <c r="A54" s="87" t="s">
        <v>71</v>
      </c>
      <c r="B54" s="88" t="s">
        <v>150</v>
      </c>
      <c r="C54" s="21">
        <v>0</v>
      </c>
      <c r="D54" s="21">
        <v>372570034.43995368</v>
      </c>
      <c r="E54" s="21">
        <v>0</v>
      </c>
      <c r="F54" s="21">
        <v>1032555089.7050034</v>
      </c>
      <c r="G54" s="22">
        <v>2648800000</v>
      </c>
      <c r="H54" s="22">
        <v>826044071.7640028</v>
      </c>
      <c r="I54" s="22">
        <v>3430800000</v>
      </c>
      <c r="J54" s="22">
        <f>MUNICIPIOS!M54</f>
        <v>782000000</v>
      </c>
      <c r="K54" s="22">
        <f>MUNICIPIOS!N54</f>
        <v>1405125124.0039566</v>
      </c>
      <c r="L54" s="22">
        <f t="shared" si="2"/>
        <v>623125124.00395656</v>
      </c>
      <c r="M54" s="89">
        <f t="shared" si="3"/>
        <v>0.55653406706703934</v>
      </c>
    </row>
    <row r="55" spans="1:13" x14ac:dyDescent="0.25">
      <c r="A55" s="87" t="s">
        <v>71</v>
      </c>
      <c r="B55" s="88" t="s">
        <v>76</v>
      </c>
      <c r="C55" s="21">
        <v>0</v>
      </c>
      <c r="D55" s="21">
        <v>221258101.51656008</v>
      </c>
      <c r="E55" s="21">
        <v>0</v>
      </c>
      <c r="F55" s="21">
        <v>612757258.90475333</v>
      </c>
      <c r="G55" s="22">
        <v>1944000000</v>
      </c>
      <c r="H55" s="22">
        <v>490205807.12380266</v>
      </c>
      <c r="I55" s="22">
        <v>2965000000</v>
      </c>
      <c r="J55" s="22">
        <f>MUNICIPIOS!M55</f>
        <v>1021000000</v>
      </c>
      <c r="K55" s="22">
        <f>MUNICIPIOS!N55</f>
        <v>834015360.24036276</v>
      </c>
      <c r="L55" s="22">
        <f t="shared" si="2"/>
        <v>-186984639.75963724</v>
      </c>
      <c r="M55" s="89">
        <f t="shared" si="3"/>
        <v>1.2241980767665339</v>
      </c>
    </row>
    <row r="56" spans="1:13" x14ac:dyDescent="0.25">
      <c r="A56" s="87" t="s">
        <v>71</v>
      </c>
      <c r="B56" s="88" t="s">
        <v>77</v>
      </c>
      <c r="C56" s="21">
        <v>0</v>
      </c>
      <c r="D56" s="21">
        <v>218933213.57159701</v>
      </c>
      <c r="E56" s="21">
        <v>0</v>
      </c>
      <c r="F56" s="21">
        <v>608421225.92162406</v>
      </c>
      <c r="G56" s="22">
        <v>113810606</v>
      </c>
      <c r="H56" s="22">
        <v>486736980.73729926</v>
      </c>
      <c r="I56" s="22">
        <v>380065970</v>
      </c>
      <c r="J56" s="22">
        <f>MUNICIPIOS!M56</f>
        <v>477229153</v>
      </c>
      <c r="K56" s="22">
        <f>MUNICIPIOS!N56</f>
        <v>827354439.3088963</v>
      </c>
      <c r="L56" s="22">
        <f t="shared" si="2"/>
        <v>350125286.3088963</v>
      </c>
      <c r="M56" s="89">
        <f t="shared" si="3"/>
        <v>0.57681343125279882</v>
      </c>
    </row>
    <row r="57" spans="1:13" x14ac:dyDescent="0.25">
      <c r="A57" s="87" t="s">
        <v>71</v>
      </c>
      <c r="B57" s="88" t="s">
        <v>78</v>
      </c>
      <c r="C57" s="21">
        <v>0</v>
      </c>
      <c r="D57" s="21">
        <v>119155463.00020088</v>
      </c>
      <c r="E57" s="21">
        <v>0</v>
      </c>
      <c r="F57" s="21">
        <v>332498175.02962625</v>
      </c>
      <c r="G57" s="22">
        <v>0</v>
      </c>
      <c r="H57" s="22">
        <v>265998540.02370101</v>
      </c>
      <c r="I57" s="22">
        <v>238000633.78999999</v>
      </c>
      <c r="J57" s="22">
        <f>MUNICIPIOS!M57</f>
        <v>238000633.78999999</v>
      </c>
      <c r="K57" s="22">
        <f>MUNICIPIOS!N57</f>
        <v>451653637.82390189</v>
      </c>
      <c r="L57" s="22">
        <f t="shared" si="2"/>
        <v>213653004.0339019</v>
      </c>
      <c r="M57" s="89">
        <f t="shared" si="3"/>
        <v>0.52695387318632769</v>
      </c>
    </row>
    <row r="58" spans="1:13" x14ac:dyDescent="0.25">
      <c r="A58" s="87" t="s">
        <v>71</v>
      </c>
      <c r="B58" s="88" t="s">
        <v>79</v>
      </c>
      <c r="C58" s="21">
        <v>0</v>
      </c>
      <c r="D58" s="21">
        <v>213512384.11187077</v>
      </c>
      <c r="E58" s="21">
        <v>0</v>
      </c>
      <c r="F58" s="21">
        <v>586750597.22084272</v>
      </c>
      <c r="G58" s="22">
        <v>113810606</v>
      </c>
      <c r="H58" s="22">
        <v>469400477.77667421</v>
      </c>
      <c r="I58" s="22">
        <v>487825064</v>
      </c>
      <c r="J58" s="22">
        <f>MUNICIPIOS!M58</f>
        <v>574388543</v>
      </c>
      <c r="K58" s="22">
        <f>MUNICIPIOS!N58</f>
        <v>800262981.28854489</v>
      </c>
      <c r="L58" s="22">
        <f t="shared" si="2"/>
        <v>225874438.28854489</v>
      </c>
      <c r="M58" s="89">
        <f t="shared" si="3"/>
        <v>0.71774973531219355</v>
      </c>
    </row>
    <row r="59" spans="1:13" x14ac:dyDescent="0.25">
      <c r="A59" s="87" t="s">
        <v>71</v>
      </c>
      <c r="B59" s="88" t="s">
        <v>80</v>
      </c>
      <c r="C59" s="21">
        <v>15474.724508043308</v>
      </c>
      <c r="D59" s="21">
        <v>258464857.91873425</v>
      </c>
      <c r="E59" s="21">
        <v>0</v>
      </c>
      <c r="F59" s="21">
        <v>709029184.04287577</v>
      </c>
      <c r="G59" s="22">
        <v>1676771429</v>
      </c>
      <c r="H59" s="22">
        <v>567223347.23430061</v>
      </c>
      <c r="I59" s="22">
        <v>2164619667</v>
      </c>
      <c r="J59" s="22">
        <f>MUNICIPIOS!M59</f>
        <v>504148238</v>
      </c>
      <c r="K59" s="22">
        <f>MUNICIPIOS!N59</f>
        <v>967509516.47754288</v>
      </c>
      <c r="L59" s="22">
        <f t="shared" si="2"/>
        <v>463361278.47754288</v>
      </c>
      <c r="M59" s="89">
        <f t="shared" si="3"/>
        <v>0.52107832472333304</v>
      </c>
    </row>
    <row r="60" spans="1:13" x14ac:dyDescent="0.25">
      <c r="A60" s="87" t="s">
        <v>71</v>
      </c>
      <c r="B60" s="88" t="s">
        <v>81</v>
      </c>
      <c r="C60" s="21">
        <v>0</v>
      </c>
      <c r="D60" s="21">
        <v>298258002.27876073</v>
      </c>
      <c r="E60" s="21">
        <v>0</v>
      </c>
      <c r="F60" s="21">
        <v>835821931.44937587</v>
      </c>
      <c r="G60" s="22">
        <v>0</v>
      </c>
      <c r="H60" s="22">
        <v>668657545.15950072</v>
      </c>
      <c r="I60" s="22">
        <v>298000000</v>
      </c>
      <c r="J60" s="22">
        <f>MUNICIPIOS!M60</f>
        <v>297999932</v>
      </c>
      <c r="K60" s="22">
        <f>MUNICIPIOS!N60</f>
        <v>1134079933.4382615</v>
      </c>
      <c r="L60" s="22">
        <f t="shared" si="2"/>
        <v>836080001.43826151</v>
      </c>
      <c r="M60" s="89">
        <f t="shared" si="3"/>
        <v>0.26276801415270162</v>
      </c>
    </row>
    <row r="61" spans="1:13" x14ac:dyDescent="0.25">
      <c r="A61" s="87" t="s">
        <v>38</v>
      </c>
      <c r="B61" s="88" t="s">
        <v>39</v>
      </c>
      <c r="C61" s="21">
        <v>0</v>
      </c>
      <c r="D61" s="21">
        <v>148362634.55780408</v>
      </c>
      <c r="E61" s="21">
        <v>0</v>
      </c>
      <c r="F61" s="21">
        <v>401017078.15440261</v>
      </c>
      <c r="G61" s="22">
        <v>143132756</v>
      </c>
      <c r="H61" s="22">
        <v>320813662.52352208</v>
      </c>
      <c r="I61" s="22">
        <v>161132756</v>
      </c>
      <c r="J61" s="22">
        <f>MUNICIPIOS!M61</f>
        <v>18000000</v>
      </c>
      <c r="K61" s="22">
        <f>MUNICIPIOS!N61</f>
        <v>549379712.68132615</v>
      </c>
      <c r="L61" s="22">
        <f t="shared" si="2"/>
        <v>531379712.68132615</v>
      </c>
      <c r="M61" s="89">
        <f t="shared" si="3"/>
        <v>3.2764224059436832E-2</v>
      </c>
    </row>
    <row r="62" spans="1:13" x14ac:dyDescent="0.25">
      <c r="A62" s="87" t="s">
        <v>38</v>
      </c>
      <c r="B62" s="88" t="s">
        <v>40</v>
      </c>
      <c r="C62" s="21">
        <v>0</v>
      </c>
      <c r="D62" s="21">
        <v>320605346.48974913</v>
      </c>
      <c r="E62" s="21">
        <v>0</v>
      </c>
      <c r="F62" s="21">
        <v>880731414.1273576</v>
      </c>
      <c r="G62" s="22">
        <v>3766586292</v>
      </c>
      <c r="H62" s="22">
        <v>704585131.30188608</v>
      </c>
      <c r="I62" s="22">
        <v>4856896049</v>
      </c>
      <c r="J62" s="22">
        <f>MUNICIPIOS!M62</f>
        <v>940309757</v>
      </c>
      <c r="K62" s="22">
        <f>MUNICIPIOS!N62</f>
        <v>1201336760.3916352</v>
      </c>
      <c r="L62" s="22">
        <f t="shared" si="2"/>
        <v>261027003.39163518</v>
      </c>
      <c r="M62" s="89">
        <f t="shared" si="3"/>
        <v>0.7827195404338243</v>
      </c>
    </row>
    <row r="63" spans="1:13" x14ac:dyDescent="0.25">
      <c r="A63" s="87" t="s">
        <v>38</v>
      </c>
      <c r="B63" s="88" t="s">
        <v>41</v>
      </c>
      <c r="C63" s="21">
        <v>18944319.588097475</v>
      </c>
      <c r="D63" s="21">
        <v>525450255.3258968</v>
      </c>
      <c r="E63" s="21">
        <v>26082785.609538324</v>
      </c>
      <c r="F63" s="21">
        <v>1464078556.563858</v>
      </c>
      <c r="G63" s="22">
        <v>2076055380</v>
      </c>
      <c r="H63" s="22">
        <v>1192129073.7387171</v>
      </c>
      <c r="I63" s="22">
        <v>3701214661</v>
      </c>
      <c r="J63" s="22">
        <f>MUNICIPIOS!M63</f>
        <v>1620708494</v>
      </c>
      <c r="K63" s="22">
        <f>MUNICIPIOS!N63</f>
        <v>2029339359.8527114</v>
      </c>
      <c r="L63" s="22">
        <f t="shared" si="2"/>
        <v>408630865.85271144</v>
      </c>
      <c r="M63" s="89">
        <f t="shared" si="3"/>
        <v>0.79863847617760209</v>
      </c>
    </row>
    <row r="64" spans="1:13" x14ac:dyDescent="0.25">
      <c r="A64" s="87" t="s">
        <v>38</v>
      </c>
      <c r="B64" s="88" t="s">
        <v>42</v>
      </c>
      <c r="C64" s="21">
        <v>0</v>
      </c>
      <c r="D64" s="21">
        <v>145546010.04700798</v>
      </c>
      <c r="E64" s="21">
        <v>0</v>
      </c>
      <c r="F64" s="21">
        <v>384436038.22306913</v>
      </c>
      <c r="G64" s="22">
        <v>2116400000</v>
      </c>
      <c r="H64" s="22">
        <v>307548830.57845533</v>
      </c>
      <c r="I64" s="22">
        <v>2569489931</v>
      </c>
      <c r="J64" s="22">
        <f>MUNICIPIOS!M64</f>
        <v>453089931</v>
      </c>
      <c r="K64" s="22">
        <f>MUNICIPIOS!N64</f>
        <v>529982048.02546334</v>
      </c>
      <c r="L64" s="22">
        <f t="shared" si="2"/>
        <v>76892117.025463343</v>
      </c>
      <c r="M64" s="89">
        <f t="shared" si="3"/>
        <v>0.85491561966685892</v>
      </c>
    </row>
    <row r="65" spans="1:13" x14ac:dyDescent="0.25">
      <c r="A65" s="87" t="s">
        <v>38</v>
      </c>
      <c r="B65" s="88" t="s">
        <v>43</v>
      </c>
      <c r="C65" s="21">
        <v>0</v>
      </c>
      <c r="D65" s="21">
        <v>163149913.23948371</v>
      </c>
      <c r="E65" s="21">
        <v>0</v>
      </c>
      <c r="F65" s="21">
        <v>443480595.20607841</v>
      </c>
      <c r="G65" s="22">
        <v>159279283</v>
      </c>
      <c r="H65" s="22">
        <v>354784476.16486275</v>
      </c>
      <c r="I65" s="22">
        <v>352428995</v>
      </c>
      <c r="J65" s="22">
        <f>MUNICIPIOS!M65</f>
        <v>193149712</v>
      </c>
      <c r="K65" s="22">
        <f>MUNICIPIOS!N65</f>
        <v>606630508.20434642</v>
      </c>
      <c r="L65" s="22">
        <f t="shared" si="2"/>
        <v>413480796.20434642</v>
      </c>
      <c r="M65" s="89">
        <f t="shared" si="3"/>
        <v>0.31839762324471915</v>
      </c>
    </row>
    <row r="66" spans="1:13" x14ac:dyDescent="0.25">
      <c r="A66" s="87" t="s">
        <v>38</v>
      </c>
      <c r="B66" s="88" t="s">
        <v>44</v>
      </c>
      <c r="C66" s="21">
        <v>0</v>
      </c>
      <c r="D66" s="21">
        <v>140249531.34735876</v>
      </c>
      <c r="E66" s="21">
        <v>0</v>
      </c>
      <c r="F66" s="21">
        <v>378390900.30233639</v>
      </c>
      <c r="G66" s="22">
        <v>0</v>
      </c>
      <c r="H66" s="22">
        <v>302712720.24186915</v>
      </c>
      <c r="I66" s="22">
        <v>440205000</v>
      </c>
      <c r="J66" s="22">
        <f>MUNICIPIOS!M66</f>
        <v>440249505</v>
      </c>
      <c r="K66" s="22">
        <f>MUNICIPIOS!N66</f>
        <v>518640431.38922793</v>
      </c>
      <c r="L66" s="22">
        <f t="shared" si="2"/>
        <v>78390926.389227927</v>
      </c>
      <c r="M66" s="89">
        <f t="shared" si="3"/>
        <v>0.8488530364297856</v>
      </c>
    </row>
    <row r="67" spans="1:13" x14ac:dyDescent="0.25">
      <c r="A67" s="87" t="s">
        <v>38</v>
      </c>
      <c r="B67" s="88" t="s">
        <v>160</v>
      </c>
      <c r="C67" s="21">
        <v>0</v>
      </c>
      <c r="D67" s="21">
        <v>66282522.455147721</v>
      </c>
      <c r="E67" s="21">
        <v>0</v>
      </c>
      <c r="F67" s="21">
        <v>180173512.36152226</v>
      </c>
      <c r="G67" s="22">
        <v>946380000</v>
      </c>
      <c r="H67" s="22">
        <v>144138809.88921782</v>
      </c>
      <c r="I67" s="22">
        <v>1155800000</v>
      </c>
      <c r="J67" s="22">
        <f>MUNICIPIOS!M67</f>
        <v>209420000</v>
      </c>
      <c r="K67" s="22">
        <f>MUNICIPIOS!N67</f>
        <v>246456034.54436556</v>
      </c>
      <c r="L67" s="22">
        <f t="shared" si="2"/>
        <v>37036034.544365555</v>
      </c>
      <c r="M67" s="89">
        <f t="shared" si="3"/>
        <v>0.84972559258759583</v>
      </c>
    </row>
    <row r="68" spans="1:13" x14ac:dyDescent="0.25">
      <c r="A68" s="87" t="s">
        <v>38</v>
      </c>
      <c r="B68" s="88" t="s">
        <v>46</v>
      </c>
      <c r="C68" s="21">
        <v>0</v>
      </c>
      <c r="D68" s="21">
        <v>514003357.73647809</v>
      </c>
      <c r="E68" s="21">
        <v>0</v>
      </c>
      <c r="F68" s="21">
        <v>1401730172.4243686</v>
      </c>
      <c r="G68" s="22">
        <v>141132756</v>
      </c>
      <c r="H68" s="22">
        <v>1121384137.9394948</v>
      </c>
      <c r="I68" s="22">
        <v>206632756</v>
      </c>
      <c r="J68" s="22">
        <f>MUNICIPIOS!M68</f>
        <v>65500000</v>
      </c>
      <c r="K68" s="22">
        <f>MUNICIPIOS!N68</f>
        <v>1915733529.875973</v>
      </c>
      <c r="L68" s="22">
        <f t="shared" ref="L68:L99" si="4">K68-J68</f>
        <v>1850233529.875973</v>
      </c>
      <c r="M68" s="89">
        <f t="shared" si="3"/>
        <v>3.4190558853057475E-2</v>
      </c>
    </row>
    <row r="69" spans="1:13" x14ac:dyDescent="0.25">
      <c r="A69" s="87" t="s">
        <v>90</v>
      </c>
      <c r="B69" s="88" t="s">
        <v>91</v>
      </c>
      <c r="C69" s="21">
        <v>0</v>
      </c>
      <c r="D69" s="21">
        <v>0</v>
      </c>
      <c r="E69" s="21">
        <v>0</v>
      </c>
      <c r="F69" s="21">
        <v>0</v>
      </c>
      <c r="G69" s="22">
        <v>0</v>
      </c>
      <c r="H69" s="22">
        <v>0</v>
      </c>
      <c r="I69" s="22">
        <v>0</v>
      </c>
      <c r="J69" s="22">
        <f>MUNICIPIOS!M69</f>
        <v>0</v>
      </c>
      <c r="K69" s="22">
        <f>MUNICIPIOS!N69</f>
        <v>0</v>
      </c>
      <c r="L69" s="22">
        <f t="shared" si="4"/>
        <v>0</v>
      </c>
      <c r="M69" s="89"/>
    </row>
    <row r="70" spans="1:13" x14ac:dyDescent="0.25">
      <c r="A70" s="87" t="s">
        <v>90</v>
      </c>
      <c r="B70" s="88" t="s">
        <v>92</v>
      </c>
      <c r="C70" s="21">
        <v>0</v>
      </c>
      <c r="D70" s="21">
        <v>0</v>
      </c>
      <c r="E70" s="21">
        <v>0</v>
      </c>
      <c r="F70" s="21">
        <v>0</v>
      </c>
      <c r="G70" s="22">
        <v>0</v>
      </c>
      <c r="H70" s="22">
        <v>0</v>
      </c>
      <c r="I70" s="22">
        <v>0</v>
      </c>
      <c r="J70" s="22">
        <f>MUNICIPIOS!M70</f>
        <v>0</v>
      </c>
      <c r="K70" s="22">
        <f>MUNICIPIOS!N70</f>
        <v>0</v>
      </c>
      <c r="L70" s="22">
        <f t="shared" si="4"/>
        <v>0</v>
      </c>
      <c r="M70" s="89"/>
    </row>
    <row r="71" spans="1:13" x14ac:dyDescent="0.25">
      <c r="A71" s="87" t="s">
        <v>90</v>
      </c>
      <c r="B71" s="88" t="s">
        <v>93</v>
      </c>
      <c r="C71" s="21">
        <v>58014873.180710696</v>
      </c>
      <c r="D71" s="21">
        <v>370832072.30516678</v>
      </c>
      <c r="E71" s="21">
        <v>48152784.867322236</v>
      </c>
      <c r="F71" s="21">
        <v>1045014000.6255555</v>
      </c>
      <c r="G71" s="22">
        <v>0</v>
      </c>
      <c r="H71" s="22">
        <v>874533428.39430225</v>
      </c>
      <c r="I71" s="22">
        <v>139964006</v>
      </c>
      <c r="J71" s="22">
        <f>MUNICIPIOS!M71</f>
        <v>139964006</v>
      </c>
      <c r="K71" s="22">
        <f>MUNICIPIOS!N71</f>
        <v>1512383173.6801796</v>
      </c>
      <c r="L71" s="22">
        <f t="shared" si="4"/>
        <v>1372419167.6801796</v>
      </c>
      <c r="M71" s="89">
        <f>J71/K71</f>
        <v>9.254533403688732E-2</v>
      </c>
    </row>
    <row r="72" spans="1:13" x14ac:dyDescent="0.25">
      <c r="A72" s="87" t="s">
        <v>90</v>
      </c>
      <c r="B72" s="88" t="s">
        <v>94</v>
      </c>
      <c r="C72" s="21">
        <v>0</v>
      </c>
      <c r="D72" s="21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f>MUNICIPIOS!M72</f>
        <v>0</v>
      </c>
      <c r="K72" s="22">
        <f>MUNICIPIOS!N72</f>
        <v>0</v>
      </c>
      <c r="L72" s="22">
        <f t="shared" si="4"/>
        <v>0</v>
      </c>
      <c r="M72" s="89"/>
    </row>
    <row r="73" spans="1:13" x14ac:dyDescent="0.25">
      <c r="A73" s="87" t="s">
        <v>90</v>
      </c>
      <c r="B73" s="88" t="s">
        <v>95</v>
      </c>
      <c r="C73" s="21">
        <v>0</v>
      </c>
      <c r="D73" s="21">
        <v>338888151.19699639</v>
      </c>
      <c r="E73" s="21">
        <v>0</v>
      </c>
      <c r="F73" s="21">
        <v>961816680.06572676</v>
      </c>
      <c r="G73" s="22">
        <v>0</v>
      </c>
      <c r="H73" s="22">
        <v>769453344.05258143</v>
      </c>
      <c r="I73" s="22">
        <v>0</v>
      </c>
      <c r="J73" s="22">
        <f>MUNICIPIOS!M73</f>
        <v>1108288151</v>
      </c>
      <c r="K73" s="22">
        <f>MUNICIPIOS!N73</f>
        <v>1300704831.0495777</v>
      </c>
      <c r="L73" s="22">
        <f t="shared" si="4"/>
        <v>192416680.04957771</v>
      </c>
      <c r="M73" s="89">
        <f t="shared" ref="M73:M80" si="5">J73/K73</f>
        <v>0.85206737496753127</v>
      </c>
    </row>
    <row r="74" spans="1:13" x14ac:dyDescent="0.25">
      <c r="A74" s="87" t="s">
        <v>90</v>
      </c>
      <c r="B74" s="88" t="s">
        <v>96</v>
      </c>
      <c r="C74" s="21">
        <v>555785454.03548932</v>
      </c>
      <c r="D74" s="21">
        <v>305985763.74072182</v>
      </c>
      <c r="E74" s="21">
        <v>229357893.36679724</v>
      </c>
      <c r="F74" s="21">
        <v>860144937.36230385</v>
      </c>
      <c r="G74" s="22">
        <v>0</v>
      </c>
      <c r="H74" s="22">
        <v>871602264.58328104</v>
      </c>
      <c r="I74" s="22">
        <v>0</v>
      </c>
      <c r="J74" s="22">
        <f>MUNICIPIOS!M74</f>
        <v>1644740490</v>
      </c>
      <c r="K74" s="22">
        <f>MUNICIPIOS!N74</f>
        <v>1951274048.1594923</v>
      </c>
      <c r="L74" s="22">
        <f t="shared" si="4"/>
        <v>306533558.15949225</v>
      </c>
      <c r="M74" s="89">
        <f t="shared" si="5"/>
        <v>0.84290594217217973</v>
      </c>
    </row>
    <row r="75" spans="1:13" x14ac:dyDescent="0.25">
      <c r="A75" s="87" t="s">
        <v>90</v>
      </c>
      <c r="B75" s="88" t="s">
        <v>97</v>
      </c>
      <c r="C75" s="21">
        <v>47024.875</v>
      </c>
      <c r="D75" s="21">
        <v>402033820.8899098</v>
      </c>
      <c r="E75" s="21">
        <v>88383.581502021552</v>
      </c>
      <c r="F75" s="21">
        <v>1138462709.6936157</v>
      </c>
      <c r="G75" s="22">
        <v>62059021</v>
      </c>
      <c r="H75" s="22">
        <v>796012348.49229181</v>
      </c>
      <c r="I75" s="22">
        <v>1335733822</v>
      </c>
      <c r="J75" s="22">
        <f>MUNICIPIOS!M75</f>
        <v>922099928</v>
      </c>
      <c r="K75" s="22">
        <f>MUNICIPIOS!N75</f>
        <v>1347252910.7586422</v>
      </c>
      <c r="L75" s="22">
        <f t="shared" si="4"/>
        <v>425152982.7586422</v>
      </c>
      <c r="M75" s="89">
        <f t="shared" si="5"/>
        <v>0.68442971667492092</v>
      </c>
    </row>
    <row r="76" spans="1:13" x14ac:dyDescent="0.25">
      <c r="A76" s="87" t="s">
        <v>90</v>
      </c>
      <c r="B76" s="88" t="s">
        <v>98</v>
      </c>
      <c r="C76" s="21">
        <v>0</v>
      </c>
      <c r="D76" s="21">
        <v>383997439.74300468</v>
      </c>
      <c r="E76" s="21">
        <v>0</v>
      </c>
      <c r="F76" s="21">
        <v>1068881822.7820569</v>
      </c>
      <c r="G76" s="22">
        <v>145206383</v>
      </c>
      <c r="H76" s="22">
        <v>910840874.62009418</v>
      </c>
      <c r="I76" s="22">
        <v>206031174</v>
      </c>
      <c r="J76" s="22">
        <f>MUNICIPIOS!M76</f>
        <v>60824791</v>
      </c>
      <c r="K76" s="22">
        <f>MUNICIPIOS!N76</f>
        <v>1540631938.5850039</v>
      </c>
      <c r="L76" s="22">
        <f t="shared" si="4"/>
        <v>1479807147.5850039</v>
      </c>
      <c r="M76" s="89">
        <f t="shared" si="5"/>
        <v>3.9480416754091592E-2</v>
      </c>
    </row>
    <row r="77" spans="1:13" x14ac:dyDescent="0.25">
      <c r="A77" s="87" t="s">
        <v>90</v>
      </c>
      <c r="B77" s="88" t="s">
        <v>99</v>
      </c>
      <c r="C77" s="21">
        <v>0</v>
      </c>
      <c r="D77" s="21">
        <v>352237475.26635021</v>
      </c>
      <c r="E77" s="21">
        <v>0</v>
      </c>
      <c r="F77" s="21">
        <v>995015435.61536467</v>
      </c>
      <c r="G77" s="22">
        <v>113810606</v>
      </c>
      <c r="H77" s="22">
        <v>855105458.22564554</v>
      </c>
      <c r="I77" s="22">
        <v>826148717</v>
      </c>
      <c r="J77" s="22">
        <f>MUNICIPIOS!M77</f>
        <v>712338111</v>
      </c>
      <c r="K77" s="22">
        <f>MUNICIPIOS!N77</f>
        <v>1452879262.3686502</v>
      </c>
      <c r="L77" s="22">
        <f t="shared" si="4"/>
        <v>740541151.3686502</v>
      </c>
      <c r="M77" s="89">
        <f t="shared" si="5"/>
        <v>0.49029408668044777</v>
      </c>
    </row>
    <row r="78" spans="1:13" x14ac:dyDescent="0.25">
      <c r="A78" s="87" t="s">
        <v>90</v>
      </c>
      <c r="B78" s="88" t="s">
        <v>157</v>
      </c>
      <c r="C78" s="21">
        <v>630.64185519359705</v>
      </c>
      <c r="D78" s="21">
        <v>0</v>
      </c>
      <c r="E78" s="21">
        <v>0</v>
      </c>
      <c r="F78" s="21">
        <v>0</v>
      </c>
      <c r="G78" s="22">
        <v>0</v>
      </c>
      <c r="H78" s="22">
        <v>0</v>
      </c>
      <c r="I78" s="22">
        <v>0</v>
      </c>
      <c r="J78" s="22">
        <f>MUNICIPIOS!M78</f>
        <v>0</v>
      </c>
      <c r="K78" s="22">
        <f>MUNICIPIOS!N78</f>
        <v>630.64185519359705</v>
      </c>
      <c r="L78" s="22">
        <f t="shared" si="4"/>
        <v>630.64185519359705</v>
      </c>
      <c r="M78" s="89">
        <f t="shared" si="5"/>
        <v>0</v>
      </c>
    </row>
    <row r="79" spans="1:13" x14ac:dyDescent="0.25">
      <c r="A79" s="87" t="s">
        <v>56</v>
      </c>
      <c r="B79" s="88" t="s">
        <v>57</v>
      </c>
      <c r="C79" s="21">
        <v>0</v>
      </c>
      <c r="D79" s="21">
        <v>296362758.5264942</v>
      </c>
      <c r="E79" s="21">
        <v>0</v>
      </c>
      <c r="F79" s="21">
        <v>839271666.7293278</v>
      </c>
      <c r="G79" s="22">
        <v>0</v>
      </c>
      <c r="H79" s="22">
        <v>671417333.38346231</v>
      </c>
      <c r="I79" s="22">
        <v>125000000</v>
      </c>
      <c r="J79" s="22">
        <f>MUNICIPIOS!M79</f>
        <v>125000000</v>
      </c>
      <c r="K79" s="22">
        <f>MUNICIPIOS!N79</f>
        <v>1135634425.1099565</v>
      </c>
      <c r="L79" s="22">
        <f t="shared" si="4"/>
        <v>1010634425.1099565</v>
      </c>
      <c r="M79" s="89">
        <f t="shared" si="5"/>
        <v>0.1100706329749532</v>
      </c>
    </row>
    <row r="80" spans="1:13" x14ac:dyDescent="0.25">
      <c r="A80" s="87" t="s">
        <v>56</v>
      </c>
      <c r="B80" s="88" t="s">
        <v>58</v>
      </c>
      <c r="C80" s="21">
        <v>0</v>
      </c>
      <c r="D80" s="21">
        <v>405808648.93562204</v>
      </c>
      <c r="E80" s="21">
        <v>0</v>
      </c>
      <c r="F80" s="21">
        <v>1146966981.5555162</v>
      </c>
      <c r="G80" s="22">
        <v>0</v>
      </c>
      <c r="H80" s="22">
        <v>917573585.24441302</v>
      </c>
      <c r="I80" s="22">
        <v>0</v>
      </c>
      <c r="J80" s="22">
        <f>MUNICIPIOS!M80</f>
        <v>0</v>
      </c>
      <c r="K80" s="22">
        <f>MUNICIPIOS!N80</f>
        <v>1552775630.3800349</v>
      </c>
      <c r="L80" s="22">
        <f t="shared" si="4"/>
        <v>1552775630.3800349</v>
      </c>
      <c r="M80" s="89">
        <f t="shared" si="5"/>
        <v>0</v>
      </c>
    </row>
    <row r="81" spans="1:13" x14ac:dyDescent="0.25">
      <c r="A81" s="87" t="s">
        <v>56</v>
      </c>
      <c r="B81" s="88" t="s">
        <v>59</v>
      </c>
      <c r="C81" s="21">
        <v>0</v>
      </c>
      <c r="D81" s="21">
        <v>0</v>
      </c>
      <c r="E81" s="21">
        <v>0</v>
      </c>
      <c r="F81" s="21">
        <v>0</v>
      </c>
      <c r="G81" s="22">
        <v>0</v>
      </c>
      <c r="H81" s="22">
        <v>0</v>
      </c>
      <c r="I81" s="22">
        <v>0</v>
      </c>
      <c r="J81" s="22">
        <f>MUNICIPIOS!M81</f>
        <v>0</v>
      </c>
      <c r="K81" s="22">
        <f>MUNICIPIOS!N81</f>
        <v>0</v>
      </c>
      <c r="L81" s="22">
        <f t="shared" si="4"/>
        <v>0</v>
      </c>
      <c r="M81" s="89"/>
    </row>
    <row r="82" spans="1:13" x14ac:dyDescent="0.25">
      <c r="A82" s="87" t="s">
        <v>56</v>
      </c>
      <c r="B82" s="88" t="s">
        <v>60</v>
      </c>
      <c r="C82" s="21">
        <v>0</v>
      </c>
      <c r="D82" s="21">
        <v>0</v>
      </c>
      <c r="E82" s="21">
        <v>0</v>
      </c>
      <c r="F82" s="21">
        <v>0</v>
      </c>
      <c r="G82" s="22">
        <v>0</v>
      </c>
      <c r="H82" s="22">
        <v>0</v>
      </c>
      <c r="I82" s="22">
        <v>0</v>
      </c>
      <c r="J82" s="22">
        <f>MUNICIPIOS!M82</f>
        <v>0</v>
      </c>
      <c r="K82" s="22">
        <f>MUNICIPIOS!N82</f>
        <v>0</v>
      </c>
      <c r="L82" s="22">
        <f t="shared" si="4"/>
        <v>0</v>
      </c>
      <c r="M82" s="89"/>
    </row>
    <row r="83" spans="1:13" x14ac:dyDescent="0.25">
      <c r="A83" s="87" t="s">
        <v>56</v>
      </c>
      <c r="B83" s="88" t="s">
        <v>61</v>
      </c>
      <c r="C83" s="21">
        <v>0</v>
      </c>
      <c r="D83" s="21">
        <v>0</v>
      </c>
      <c r="E83" s="21">
        <v>0</v>
      </c>
      <c r="F83" s="21">
        <v>0</v>
      </c>
      <c r="G83" s="22">
        <v>0</v>
      </c>
      <c r="H83" s="22">
        <v>0</v>
      </c>
      <c r="I83" s="22">
        <v>0</v>
      </c>
      <c r="J83" s="22">
        <f>MUNICIPIOS!M83</f>
        <v>0</v>
      </c>
      <c r="K83" s="22">
        <f>MUNICIPIOS!N83</f>
        <v>0</v>
      </c>
      <c r="L83" s="22">
        <f t="shared" si="4"/>
        <v>0</v>
      </c>
      <c r="M83" s="89"/>
    </row>
    <row r="84" spans="1:13" x14ac:dyDescent="0.25">
      <c r="A84" s="87" t="s">
        <v>56</v>
      </c>
      <c r="B84" s="88" t="s">
        <v>62</v>
      </c>
      <c r="C84" s="21">
        <v>1931002.4626815447</v>
      </c>
      <c r="D84" s="21">
        <v>312059735.13603753</v>
      </c>
      <c r="E84" s="21">
        <v>5002765.8156373231</v>
      </c>
      <c r="F84" s="21">
        <v>879865444.30303168</v>
      </c>
      <c r="G84" s="22">
        <v>0</v>
      </c>
      <c r="H84" s="22">
        <v>0</v>
      </c>
      <c r="I84" s="22">
        <v>0</v>
      </c>
      <c r="J84" s="22">
        <f>MUNICIPIOS!M84</f>
        <v>0</v>
      </c>
      <c r="K84" s="22">
        <f>MUNICIPIOS!N84</f>
        <v>0</v>
      </c>
      <c r="L84" s="22">
        <f t="shared" si="4"/>
        <v>0</v>
      </c>
      <c r="M84" s="89"/>
    </row>
    <row r="85" spans="1:13" x14ac:dyDescent="0.25">
      <c r="A85" s="87" t="s">
        <v>56</v>
      </c>
      <c r="B85" s="88" t="s">
        <v>63</v>
      </c>
      <c r="C85" s="21">
        <v>1160311115.6674049</v>
      </c>
      <c r="D85" s="21">
        <v>0</v>
      </c>
      <c r="E85" s="21">
        <v>410388634.86026967</v>
      </c>
      <c r="F85" s="21">
        <v>0</v>
      </c>
      <c r="G85" s="22">
        <v>0</v>
      </c>
      <c r="H85" s="22">
        <v>707894568.0949353</v>
      </c>
      <c r="I85" s="22">
        <v>108273000</v>
      </c>
      <c r="J85" s="22">
        <f>MUNICIPIOS!M85</f>
        <v>215700000</v>
      </c>
      <c r="K85" s="22">
        <f>MUNICIPIOS!N85</f>
        <v>1198858947.2936544</v>
      </c>
      <c r="L85" s="22">
        <f t="shared" si="4"/>
        <v>983158947.29365444</v>
      </c>
      <c r="M85" s="89">
        <f>J85/K85</f>
        <v>0.17992108286544353</v>
      </c>
    </row>
    <row r="86" spans="1:13" x14ac:dyDescent="0.25">
      <c r="A86" s="87" t="s">
        <v>56</v>
      </c>
      <c r="B86" s="88" t="s">
        <v>64</v>
      </c>
      <c r="C86" s="21">
        <v>0</v>
      </c>
      <c r="D86" s="21">
        <v>229370390.89332244</v>
      </c>
      <c r="E86" s="21">
        <v>0</v>
      </c>
      <c r="F86" s="21">
        <v>641189236.63622606</v>
      </c>
      <c r="G86" s="22">
        <v>113810606</v>
      </c>
      <c r="H86" s="22">
        <v>512951389.30898088</v>
      </c>
      <c r="I86" s="22">
        <v>161132756</v>
      </c>
      <c r="J86" s="22">
        <f>MUNICIPIOS!M86</f>
        <v>47322150</v>
      </c>
      <c r="K86" s="22">
        <f>MUNICIPIOS!N86</f>
        <v>870559627.40230322</v>
      </c>
      <c r="L86" s="22">
        <f t="shared" si="4"/>
        <v>823237477.40230322</v>
      </c>
      <c r="M86" s="89">
        <f>J86/K86</f>
        <v>5.4358309885339393E-2</v>
      </c>
    </row>
    <row r="87" spans="1:13" x14ac:dyDescent="0.25">
      <c r="A87" s="87" t="s">
        <v>56</v>
      </c>
      <c r="B87" s="88" t="s">
        <v>100</v>
      </c>
      <c r="C87" s="21">
        <v>0</v>
      </c>
      <c r="D87" s="21">
        <v>0</v>
      </c>
      <c r="E87" s="21">
        <v>0</v>
      </c>
      <c r="F87" s="21">
        <v>0</v>
      </c>
      <c r="G87" s="22">
        <v>0</v>
      </c>
      <c r="H87" s="22">
        <v>328310907.88821578</v>
      </c>
      <c r="I87" s="22">
        <v>600000000</v>
      </c>
      <c r="J87" s="22">
        <f>MUNICIPIOS!M87</f>
        <v>1380000000</v>
      </c>
      <c r="K87" s="22">
        <f>MUNICIPIOS!N87</f>
        <v>1570699750.3556206</v>
      </c>
      <c r="L87" s="22">
        <f t="shared" si="4"/>
        <v>190699750.35562062</v>
      </c>
      <c r="M87" s="89">
        <f>J87/K87</f>
        <v>0.87858930370846211</v>
      </c>
    </row>
    <row r="88" spans="1:13" x14ac:dyDescent="0.25">
      <c r="A88" s="87" t="s">
        <v>174</v>
      </c>
      <c r="B88" s="88" t="s">
        <v>67</v>
      </c>
      <c r="C88" s="21">
        <v>0</v>
      </c>
      <c r="D88" s="21">
        <v>564760500.76793325</v>
      </c>
      <c r="E88" s="21">
        <v>0</v>
      </c>
      <c r="F88" s="21">
        <v>1589800891.2663257</v>
      </c>
      <c r="G88" s="22">
        <v>0</v>
      </c>
      <c r="H88" s="22">
        <v>1271840713.0130606</v>
      </c>
      <c r="I88" s="22">
        <v>1229806885</v>
      </c>
      <c r="J88" s="22">
        <f>MUNICIPIOS!M88</f>
        <v>1229806885</v>
      </c>
      <c r="K88" s="22">
        <f>MUNICIPIOS!N88</f>
        <v>2154561391.7809939</v>
      </c>
      <c r="L88" s="22">
        <f t="shared" si="4"/>
        <v>924754506.78099394</v>
      </c>
      <c r="M88" s="89">
        <f>J88/K88</f>
        <v>0.57079222234805871</v>
      </c>
    </row>
    <row r="89" spans="1:13" x14ac:dyDescent="0.25">
      <c r="A89" s="87" t="s">
        <v>174</v>
      </c>
      <c r="B89" s="88" t="s">
        <v>66</v>
      </c>
      <c r="C89" s="21">
        <v>0</v>
      </c>
      <c r="D89" s="21">
        <v>0</v>
      </c>
      <c r="E89" s="21">
        <v>0</v>
      </c>
      <c r="F89" s="21">
        <v>0</v>
      </c>
      <c r="G89" s="22">
        <v>0</v>
      </c>
      <c r="H89" s="22">
        <v>0</v>
      </c>
      <c r="I89" s="22">
        <v>0</v>
      </c>
      <c r="J89" s="22">
        <f>MUNICIPIOS!M89</f>
        <v>0</v>
      </c>
      <c r="K89" s="22">
        <f>MUNICIPIOS!N89</f>
        <v>0</v>
      </c>
      <c r="L89" s="22">
        <f t="shared" si="4"/>
        <v>0</v>
      </c>
      <c r="M89" s="89"/>
    </row>
    <row r="90" spans="1:13" x14ac:dyDescent="0.25">
      <c r="A90" s="87" t="s">
        <v>101</v>
      </c>
      <c r="B90" s="88" t="s">
        <v>147</v>
      </c>
      <c r="C90" s="21">
        <v>0</v>
      </c>
      <c r="D90" s="21">
        <v>345656447.34867781</v>
      </c>
      <c r="E90" s="21">
        <v>0</v>
      </c>
      <c r="F90" s="21">
        <v>960141098.93641782</v>
      </c>
      <c r="G90" s="22">
        <v>0</v>
      </c>
      <c r="H90" s="22">
        <v>768112879.14913428</v>
      </c>
      <c r="I90" s="22">
        <v>74000000</v>
      </c>
      <c r="J90" s="22">
        <f>MUNICIPIOS!M90</f>
        <v>0</v>
      </c>
      <c r="K90" s="22">
        <f>MUNICIPIOS!N90</f>
        <v>1305797546.0978122</v>
      </c>
      <c r="L90" s="22">
        <f t="shared" si="4"/>
        <v>1305797546.0978122</v>
      </c>
      <c r="M90" s="89">
        <f>J90/K90</f>
        <v>0</v>
      </c>
    </row>
    <row r="91" spans="1:13" x14ac:dyDescent="0.25">
      <c r="A91" s="87" t="s">
        <v>101</v>
      </c>
      <c r="B91" s="88" t="s">
        <v>103</v>
      </c>
      <c r="C91" s="21">
        <v>0</v>
      </c>
      <c r="D91" s="21">
        <v>139606606.18728572</v>
      </c>
      <c r="E91" s="21">
        <v>0</v>
      </c>
      <c r="F91" s="21">
        <v>376336419.47498959</v>
      </c>
      <c r="G91" s="22">
        <v>0</v>
      </c>
      <c r="H91" s="22">
        <v>301069135.5799917</v>
      </c>
      <c r="I91" s="22">
        <v>440146756</v>
      </c>
      <c r="J91" s="22">
        <f>MUNICIPIOS!M91</f>
        <v>440146756</v>
      </c>
      <c r="K91" s="22">
        <f>MUNICIPIOS!N91</f>
        <v>515943025.36727744</v>
      </c>
      <c r="L91" s="22">
        <f t="shared" si="4"/>
        <v>75796269.367277443</v>
      </c>
      <c r="M91" s="89">
        <f>J91/K91</f>
        <v>0.85309178409123498</v>
      </c>
    </row>
    <row r="92" spans="1:13" x14ac:dyDescent="0.25">
      <c r="A92" s="87" t="s">
        <v>101</v>
      </c>
      <c r="B92" s="88" t="s">
        <v>104</v>
      </c>
      <c r="C92" s="21">
        <v>0</v>
      </c>
      <c r="D92" s="21">
        <v>0</v>
      </c>
      <c r="E92" s="21">
        <v>0</v>
      </c>
      <c r="F92" s="21">
        <v>0</v>
      </c>
      <c r="G92" s="22">
        <v>0</v>
      </c>
      <c r="H92" s="22">
        <v>0</v>
      </c>
      <c r="I92" s="22">
        <v>0</v>
      </c>
      <c r="J92" s="22">
        <f>MUNICIPIOS!M92</f>
        <v>0</v>
      </c>
      <c r="K92" s="22">
        <f>MUNICIPIOS!N92</f>
        <v>0</v>
      </c>
      <c r="L92" s="22">
        <f t="shared" si="4"/>
        <v>0</v>
      </c>
      <c r="M92" s="89"/>
    </row>
    <row r="93" spans="1:13" x14ac:dyDescent="0.25">
      <c r="A93" s="87" t="s">
        <v>101</v>
      </c>
      <c r="B93" s="88" t="s">
        <v>105</v>
      </c>
      <c r="C93" s="21">
        <v>0</v>
      </c>
      <c r="D93" s="21">
        <v>238233688.82137182</v>
      </c>
      <c r="E93" s="21">
        <v>0</v>
      </c>
      <c r="F93" s="21">
        <v>673785569.66973019</v>
      </c>
      <c r="G93" s="22">
        <v>0</v>
      </c>
      <c r="H93" s="22">
        <v>539028455.73578417</v>
      </c>
      <c r="I93" s="22">
        <v>238225488</v>
      </c>
      <c r="J93" s="22">
        <f>MUNICIPIOS!M93</f>
        <v>777262144</v>
      </c>
      <c r="K93" s="22">
        <f>MUNICIPIOS!N93</f>
        <v>912019258.35715604</v>
      </c>
      <c r="L93" s="22">
        <f t="shared" si="4"/>
        <v>134757114.35715604</v>
      </c>
      <c r="M93" s="89">
        <f t="shared" ref="M93:M120" si="6">J93/K93</f>
        <v>0.85224312631303689</v>
      </c>
    </row>
    <row r="94" spans="1:13" x14ac:dyDescent="0.25">
      <c r="A94" s="87" t="s">
        <v>101</v>
      </c>
      <c r="B94" s="88" t="s">
        <v>106</v>
      </c>
      <c r="C94" s="21">
        <v>0</v>
      </c>
      <c r="D94" s="21">
        <v>171293631.93374205</v>
      </c>
      <c r="E94" s="21">
        <v>0</v>
      </c>
      <c r="F94" s="21">
        <v>467311929.64807123</v>
      </c>
      <c r="G94" s="22">
        <v>688000000</v>
      </c>
      <c r="H94" s="22">
        <v>373849543.71845698</v>
      </c>
      <c r="I94" s="22">
        <v>979293632</v>
      </c>
      <c r="J94" s="22">
        <f>MUNICIPIOS!M94</f>
        <v>291292290</v>
      </c>
      <c r="K94" s="22">
        <f>MUNICIPIOS!N94</f>
        <v>638605561.45219898</v>
      </c>
      <c r="L94" s="22">
        <f t="shared" si="4"/>
        <v>347313271.45219898</v>
      </c>
      <c r="M94" s="89">
        <f t="shared" si="6"/>
        <v>0.45613804135622749</v>
      </c>
    </row>
    <row r="95" spans="1:13" x14ac:dyDescent="0.25">
      <c r="A95" s="87" t="s">
        <v>101</v>
      </c>
      <c r="B95" s="88" t="s">
        <v>107</v>
      </c>
      <c r="C95" s="21">
        <v>0</v>
      </c>
      <c r="D95" s="21">
        <v>346096671.91495544</v>
      </c>
      <c r="E95" s="21">
        <v>0</v>
      </c>
      <c r="F95" s="21">
        <v>965702272.7888242</v>
      </c>
      <c r="G95" s="22">
        <v>1032000000</v>
      </c>
      <c r="H95" s="22">
        <v>772561818.23105943</v>
      </c>
      <c r="I95" s="22">
        <v>1212000000</v>
      </c>
      <c r="J95" s="22">
        <f>MUNICIPIOS!M95</f>
        <v>458361899</v>
      </c>
      <c r="K95" s="22">
        <f>MUNICIPIOS!N95</f>
        <v>1311798944.5460148</v>
      </c>
      <c r="L95" s="22">
        <f t="shared" si="4"/>
        <v>853437045.54601479</v>
      </c>
      <c r="M95" s="89">
        <f t="shared" si="6"/>
        <v>0.34941474904039438</v>
      </c>
    </row>
    <row r="96" spans="1:13" x14ac:dyDescent="0.25">
      <c r="A96" s="87" t="s">
        <v>101</v>
      </c>
      <c r="B96" s="88" t="s">
        <v>108</v>
      </c>
      <c r="C96" s="21">
        <v>0</v>
      </c>
      <c r="D96" s="21">
        <v>326900170.28238273</v>
      </c>
      <c r="E96" s="21">
        <v>0</v>
      </c>
      <c r="F96" s="21">
        <v>907632549.57439983</v>
      </c>
      <c r="G96" s="22">
        <v>1944000000</v>
      </c>
      <c r="H96" s="22">
        <v>726106039.65951991</v>
      </c>
      <c r="I96" s="22">
        <v>2750974474</v>
      </c>
      <c r="J96" s="22">
        <f>MUNICIPIOS!M96</f>
        <v>806974474</v>
      </c>
      <c r="K96" s="22">
        <f>MUNICIPIOS!N96</f>
        <v>1234532719.7419026</v>
      </c>
      <c r="L96" s="22">
        <f t="shared" si="4"/>
        <v>427558245.74190259</v>
      </c>
      <c r="M96" s="89">
        <f t="shared" si="6"/>
        <v>0.65366795152153601</v>
      </c>
    </row>
    <row r="97" spans="1:13" x14ac:dyDescent="0.25">
      <c r="A97" s="87" t="s">
        <v>101</v>
      </c>
      <c r="B97" s="88" t="s">
        <v>109</v>
      </c>
      <c r="C97" s="21">
        <v>0</v>
      </c>
      <c r="D97" s="21">
        <v>486412397.68097776</v>
      </c>
      <c r="E97" s="21">
        <v>0</v>
      </c>
      <c r="F97" s="21">
        <v>1349210678.436877</v>
      </c>
      <c r="G97" s="22">
        <v>3511547893</v>
      </c>
      <c r="H97" s="22">
        <v>1079368542.7495017</v>
      </c>
      <c r="I97" s="22">
        <v>4035870043</v>
      </c>
      <c r="J97" s="22">
        <f>MUNICIPIOS!M97</f>
        <v>590322150</v>
      </c>
      <c r="K97" s="22">
        <f>MUNICIPIOS!N97</f>
        <v>1835623075.8304796</v>
      </c>
      <c r="L97" s="22">
        <f t="shared" si="4"/>
        <v>1245300925.8304796</v>
      </c>
      <c r="M97" s="89">
        <f t="shared" si="6"/>
        <v>0.3215922472171604</v>
      </c>
    </row>
    <row r="98" spans="1:13" x14ac:dyDescent="0.25">
      <c r="A98" s="87" t="s">
        <v>101</v>
      </c>
      <c r="B98" s="88" t="s">
        <v>110</v>
      </c>
      <c r="C98" s="21">
        <v>0</v>
      </c>
      <c r="D98" s="21">
        <v>147750324.88154405</v>
      </c>
      <c r="E98" s="21">
        <v>0</v>
      </c>
      <c r="F98" s="21">
        <v>400911329.89334965</v>
      </c>
      <c r="G98" s="22">
        <v>0</v>
      </c>
      <c r="H98" s="22">
        <v>320729063.91467971</v>
      </c>
      <c r="I98" s="22">
        <v>443762757</v>
      </c>
      <c r="J98" s="22">
        <f>MUNICIPIOS!M98</f>
        <v>443762757</v>
      </c>
      <c r="K98" s="22">
        <f>MUNICIPIOS!N98</f>
        <v>548661654.59622383</v>
      </c>
      <c r="L98" s="22">
        <f t="shared" si="4"/>
        <v>104898897.59622383</v>
      </c>
      <c r="M98" s="89">
        <f t="shared" si="6"/>
        <v>0.80880949722389106</v>
      </c>
    </row>
    <row r="99" spans="1:13" x14ac:dyDescent="0.25">
      <c r="A99" s="87" t="s">
        <v>101</v>
      </c>
      <c r="B99" s="88" t="s">
        <v>111</v>
      </c>
      <c r="C99" s="21">
        <v>0</v>
      </c>
      <c r="D99" s="21">
        <v>177663154.30325469</v>
      </c>
      <c r="E99" s="21">
        <v>0</v>
      </c>
      <c r="F99" s="21">
        <v>493034199.66132116</v>
      </c>
      <c r="G99" s="22">
        <v>923810606</v>
      </c>
      <c r="H99" s="22">
        <v>394427359.72905695</v>
      </c>
      <c r="I99" s="22">
        <v>1171132756</v>
      </c>
      <c r="J99" s="22">
        <f>MUNICIPIOS!M99</f>
        <v>247322150</v>
      </c>
      <c r="K99" s="22">
        <f>MUNICIPIOS!N99</f>
        <v>670697353.6323117</v>
      </c>
      <c r="L99" s="22">
        <f t="shared" si="4"/>
        <v>423375203.6323117</v>
      </c>
      <c r="M99" s="89">
        <f t="shared" si="6"/>
        <v>0.36875372872812384</v>
      </c>
    </row>
    <row r="100" spans="1:13" x14ac:dyDescent="0.25">
      <c r="A100" s="87" t="s">
        <v>112</v>
      </c>
      <c r="B100" s="88" t="s">
        <v>113</v>
      </c>
      <c r="C100" s="21">
        <v>0</v>
      </c>
      <c r="D100" s="21">
        <v>380691577.38155377</v>
      </c>
      <c r="E100" s="21">
        <v>0</v>
      </c>
      <c r="F100" s="21">
        <v>1067716482.9144099</v>
      </c>
      <c r="G100" s="22">
        <v>0</v>
      </c>
      <c r="H100" s="22">
        <v>854173186.33152795</v>
      </c>
      <c r="I100" s="22">
        <v>350450250</v>
      </c>
      <c r="J100" s="22">
        <f>MUNICIPIOS!M100</f>
        <v>1254627376</v>
      </c>
      <c r="K100" s="22">
        <f>MUNICIPIOS!N100</f>
        <v>1448408059.9130816</v>
      </c>
      <c r="L100" s="22">
        <f t="shared" ref="L100:L131" si="7">K100-J100</f>
        <v>193780683.91308165</v>
      </c>
      <c r="M100" s="89">
        <f t="shared" si="6"/>
        <v>0.86621126374793145</v>
      </c>
    </row>
    <row r="101" spans="1:13" x14ac:dyDescent="0.25">
      <c r="A101" s="87" t="s">
        <v>112</v>
      </c>
      <c r="B101" s="88" t="s">
        <v>114</v>
      </c>
      <c r="C101" s="21">
        <v>0</v>
      </c>
      <c r="D101" s="21">
        <v>362036728.68288052</v>
      </c>
      <c r="E101" s="21">
        <v>0</v>
      </c>
      <c r="F101" s="21">
        <v>994905583.68602431</v>
      </c>
      <c r="G101" s="22">
        <v>972000000</v>
      </c>
      <c r="H101" s="22">
        <v>795924466.94881952</v>
      </c>
      <c r="I101" s="22">
        <v>1212000000</v>
      </c>
      <c r="J101" s="22">
        <f>MUNICIPIOS!M101</f>
        <v>240000000</v>
      </c>
      <c r="K101" s="22">
        <f>MUNICIPIOS!N101</f>
        <v>1356942312.2316999</v>
      </c>
      <c r="L101" s="22">
        <f t="shared" si="7"/>
        <v>1116942312.2316999</v>
      </c>
      <c r="M101" s="89">
        <f t="shared" si="6"/>
        <v>0.17686824107156268</v>
      </c>
    </row>
    <row r="102" spans="1:13" x14ac:dyDescent="0.25">
      <c r="A102" s="87" t="s">
        <v>112</v>
      </c>
      <c r="B102" s="88" t="s">
        <v>115</v>
      </c>
      <c r="C102" s="21">
        <v>0</v>
      </c>
      <c r="D102" s="21">
        <v>239198775.0309788</v>
      </c>
      <c r="E102" s="21">
        <v>0</v>
      </c>
      <c r="F102" s="21">
        <v>649105200.38142025</v>
      </c>
      <c r="G102" s="22">
        <v>0</v>
      </c>
      <c r="H102" s="22">
        <v>519284160.3051362</v>
      </c>
      <c r="I102" s="22">
        <v>339228053</v>
      </c>
      <c r="J102" s="22">
        <f>MUNICIPIOS!M102</f>
        <v>339228053</v>
      </c>
      <c r="K102" s="22">
        <f>MUNICIPIOS!N102</f>
        <v>888303975.13611507</v>
      </c>
      <c r="L102" s="22">
        <f t="shared" si="7"/>
        <v>549075922.13611507</v>
      </c>
      <c r="M102" s="89">
        <f t="shared" si="6"/>
        <v>0.38188284922176552</v>
      </c>
    </row>
    <row r="103" spans="1:13" x14ac:dyDescent="0.25">
      <c r="A103" s="87" t="s">
        <v>112</v>
      </c>
      <c r="B103" s="88" t="s">
        <v>116</v>
      </c>
      <c r="C103" s="21">
        <v>0</v>
      </c>
      <c r="D103" s="21">
        <v>286092861.39239055</v>
      </c>
      <c r="E103" s="21">
        <v>0</v>
      </c>
      <c r="F103" s="21">
        <v>790551725.02210128</v>
      </c>
      <c r="G103" s="22">
        <v>955206383</v>
      </c>
      <c r="H103" s="22">
        <v>632441380.017681</v>
      </c>
      <c r="I103" s="22">
        <v>1290834276</v>
      </c>
      <c r="J103" s="22">
        <f>MUNICIPIOS!M103</f>
        <v>335627893</v>
      </c>
      <c r="K103" s="22">
        <f>MUNICIPIOS!N103</f>
        <v>1076644586.2100716</v>
      </c>
      <c r="L103" s="22">
        <f t="shared" si="7"/>
        <v>741016693.21007156</v>
      </c>
      <c r="M103" s="89">
        <f t="shared" si="6"/>
        <v>0.31173508630313523</v>
      </c>
    </row>
    <row r="104" spans="1:13" x14ac:dyDescent="0.25">
      <c r="A104" s="87" t="s">
        <v>112</v>
      </c>
      <c r="B104" s="88" t="s">
        <v>117</v>
      </c>
      <c r="C104" s="21">
        <v>0</v>
      </c>
      <c r="D104" s="21">
        <v>454362347.74692506</v>
      </c>
      <c r="E104" s="21">
        <v>0</v>
      </c>
      <c r="F104" s="21">
        <v>1264612418.7266858</v>
      </c>
      <c r="G104" s="22">
        <v>1103310619</v>
      </c>
      <c r="H104" s="22">
        <v>1011689934.9813486</v>
      </c>
      <c r="I104" s="22">
        <v>1842433683</v>
      </c>
      <c r="J104" s="22">
        <f>MUNICIPIOS!M104</f>
        <v>739123064</v>
      </c>
      <c r="K104" s="22">
        <f>MUNICIPIOS!N104</f>
        <v>1718974766.3282738</v>
      </c>
      <c r="L104" s="22">
        <f t="shared" si="7"/>
        <v>979851702.32827377</v>
      </c>
      <c r="M104" s="89">
        <f t="shared" si="6"/>
        <v>0.42997900753294083</v>
      </c>
    </row>
    <row r="105" spans="1:13" hidden="1" x14ac:dyDescent="0.25">
      <c r="A105" s="90"/>
      <c r="B105" s="90" t="s">
        <v>164</v>
      </c>
      <c r="C105" s="91"/>
      <c r="D105" s="91"/>
      <c r="E105" s="92"/>
      <c r="F105" s="93"/>
      <c r="G105" s="91"/>
      <c r="H105" s="91"/>
      <c r="I105" s="91"/>
      <c r="J105" s="92">
        <f>SUM(J1:J104)</f>
        <v>46575731259.790001</v>
      </c>
      <c r="K105" s="92">
        <f>SUM(K1:K104)</f>
        <v>104059278626.34102</v>
      </c>
      <c r="L105" s="92">
        <f>SUM(L1:L104)</f>
        <v>57483547366.551041</v>
      </c>
      <c r="M105" s="94">
        <f t="shared" si="6"/>
        <v>0.44758845030086597</v>
      </c>
    </row>
    <row r="106" spans="1:13" x14ac:dyDescent="0.25">
      <c r="A106" s="87" t="s">
        <v>112</v>
      </c>
      <c r="B106" s="88" t="s">
        <v>118</v>
      </c>
      <c r="C106" s="21">
        <v>0</v>
      </c>
      <c r="D106" s="21">
        <v>579385096.58220971</v>
      </c>
      <c r="E106" s="21">
        <v>0</v>
      </c>
      <c r="F106" s="21">
        <v>1625534525.9374511</v>
      </c>
      <c r="G106" s="22">
        <v>113810606</v>
      </c>
      <c r="H106" s="22">
        <v>1300427620.7499609</v>
      </c>
      <c r="I106" s="22">
        <v>732223923</v>
      </c>
      <c r="J106" s="22">
        <f>MUNICIPIOS!M105</f>
        <v>618413317</v>
      </c>
      <c r="K106" s="22">
        <f>MUNICIPIOS!N105</f>
        <v>2204919622.3321705</v>
      </c>
      <c r="L106" s="22">
        <f t="shared" ref="L106:L120" si="8">K106-J106</f>
        <v>1586506305.3321705</v>
      </c>
      <c r="M106" s="89">
        <f t="shared" si="6"/>
        <v>0.28046977800755235</v>
      </c>
    </row>
    <row r="107" spans="1:13" x14ac:dyDescent="0.25">
      <c r="A107" s="87" t="s">
        <v>112</v>
      </c>
      <c r="B107" s="88" t="s">
        <v>119</v>
      </c>
      <c r="C107" s="21">
        <v>0</v>
      </c>
      <c r="D107" s="21">
        <v>250250964.68747228</v>
      </c>
      <c r="E107" s="21">
        <v>0</v>
      </c>
      <c r="F107" s="21">
        <v>678457127.07003701</v>
      </c>
      <c r="G107" s="22">
        <v>1047225410</v>
      </c>
      <c r="H107" s="22">
        <v>542765701.65602958</v>
      </c>
      <c r="I107" s="22">
        <v>1477476375</v>
      </c>
      <c r="J107" s="22">
        <f>MUNICIPIOS!M106</f>
        <v>479257259</v>
      </c>
      <c r="K107" s="22">
        <f>MUNICIPIOS!N106</f>
        <v>928708091.54350185</v>
      </c>
      <c r="L107" s="22">
        <f t="shared" si="8"/>
        <v>449450832.54350185</v>
      </c>
      <c r="M107" s="89">
        <f t="shared" si="6"/>
        <v>0.51604725248326422</v>
      </c>
    </row>
    <row r="108" spans="1:13" x14ac:dyDescent="0.25">
      <c r="A108" s="87" t="s">
        <v>112</v>
      </c>
      <c r="B108" s="88" t="s">
        <v>153</v>
      </c>
      <c r="C108" s="21">
        <v>0</v>
      </c>
      <c r="D108" s="21">
        <v>370968648.5919947</v>
      </c>
      <c r="E108" s="21">
        <v>0</v>
      </c>
      <c r="F108" s="21">
        <v>1031833005.4743315</v>
      </c>
      <c r="G108" s="22">
        <v>810000000</v>
      </c>
      <c r="H108" s="22">
        <v>825466404.37946522</v>
      </c>
      <c r="I108" s="22">
        <v>1380968649</v>
      </c>
      <c r="J108" s="22">
        <f>MUNICIPIOS!M107</f>
        <v>1216293894</v>
      </c>
      <c r="K108" s="22">
        <f>MUNICIPIOS!N107</f>
        <v>1402801653.7714601</v>
      </c>
      <c r="L108" s="22">
        <f t="shared" si="8"/>
        <v>186507759.77146006</v>
      </c>
      <c r="M108" s="89">
        <f t="shared" si="6"/>
        <v>0.86704623617313947</v>
      </c>
    </row>
    <row r="109" spans="1:13" x14ac:dyDescent="0.25">
      <c r="A109" s="87" t="s">
        <v>112</v>
      </c>
      <c r="B109" s="88" t="s">
        <v>121</v>
      </c>
      <c r="C109" s="21">
        <v>0</v>
      </c>
      <c r="D109" s="21">
        <v>274728280.44061852</v>
      </c>
      <c r="E109" s="21">
        <v>0</v>
      </c>
      <c r="F109" s="21">
        <v>771356939.98517859</v>
      </c>
      <c r="G109" s="22">
        <v>1103132756</v>
      </c>
      <c r="H109" s="22">
        <v>617085551.98814285</v>
      </c>
      <c r="I109" s="22">
        <v>1647861036</v>
      </c>
      <c r="J109" s="22">
        <f>MUNICIPIOS!M108</f>
        <v>544728280</v>
      </c>
      <c r="K109" s="22">
        <f>MUNICIPIOS!N108</f>
        <v>1046085220.2287614</v>
      </c>
      <c r="L109" s="22">
        <f t="shared" si="8"/>
        <v>501356940.22876143</v>
      </c>
      <c r="M109" s="89">
        <f t="shared" si="6"/>
        <v>0.52073030902862483</v>
      </c>
    </row>
    <row r="110" spans="1:13" x14ac:dyDescent="0.25">
      <c r="A110" s="87" t="s">
        <v>112</v>
      </c>
      <c r="B110" s="88" t="s">
        <v>122</v>
      </c>
      <c r="C110" s="21">
        <v>0</v>
      </c>
      <c r="D110" s="21">
        <v>409329018.57982677</v>
      </c>
      <c r="E110" s="21">
        <v>0</v>
      </c>
      <c r="F110" s="21">
        <v>1109873508.2969561</v>
      </c>
      <c r="G110" s="22">
        <v>4128000000</v>
      </c>
      <c r="H110" s="22">
        <v>887898806.6375649</v>
      </c>
      <c r="I110" s="22">
        <v>4848000000</v>
      </c>
      <c r="J110" s="22">
        <f>MUNICIPIOS!M109</f>
        <v>720000000</v>
      </c>
      <c r="K110" s="22">
        <f>MUNICIPIOS!N109</f>
        <v>1519202526.6173916</v>
      </c>
      <c r="L110" s="22">
        <f t="shared" si="8"/>
        <v>799202526.61739159</v>
      </c>
      <c r="M110" s="89">
        <f t="shared" si="6"/>
        <v>0.47393286108016769</v>
      </c>
    </row>
    <row r="111" spans="1:13" x14ac:dyDescent="0.25">
      <c r="A111" s="87" t="s">
        <v>123</v>
      </c>
      <c r="B111" s="88" t="s">
        <v>124</v>
      </c>
      <c r="C111" s="21">
        <v>0</v>
      </c>
      <c r="D111" s="21">
        <v>272018573.67851621</v>
      </c>
      <c r="E111" s="21">
        <v>0</v>
      </c>
      <c r="F111" s="21">
        <v>747388886.41918325</v>
      </c>
      <c r="G111" s="22">
        <v>889264519</v>
      </c>
      <c r="H111" s="22">
        <v>597911109.13534665</v>
      </c>
      <c r="I111" s="22">
        <v>1731324519</v>
      </c>
      <c r="J111" s="22">
        <f>MUNICIPIOS!M110</f>
        <v>842060000</v>
      </c>
      <c r="K111" s="22">
        <f>MUNICIPIOS!N110</f>
        <v>1019407460.0138628</v>
      </c>
      <c r="L111" s="22">
        <f t="shared" si="8"/>
        <v>177347460.01386285</v>
      </c>
      <c r="M111" s="89">
        <f t="shared" si="6"/>
        <v>0.82602887758791654</v>
      </c>
    </row>
    <row r="112" spans="1:13" x14ac:dyDescent="0.25">
      <c r="A112" s="87" t="s">
        <v>123</v>
      </c>
      <c r="B112" s="88" t="s">
        <v>125</v>
      </c>
      <c r="C112" s="21">
        <v>355749253.3894251</v>
      </c>
      <c r="D112" s="21">
        <v>225054421.50937223</v>
      </c>
      <c r="E112" s="21">
        <v>420564098.28380823</v>
      </c>
      <c r="F112" s="21">
        <v>616156240.22553861</v>
      </c>
      <c r="G112" s="22">
        <v>0</v>
      </c>
      <c r="H112" s="22">
        <v>829376270.80747747</v>
      </c>
      <c r="I112" s="22">
        <v>540736628</v>
      </c>
      <c r="J112" s="22">
        <f>MUNICIPIOS!M111</f>
        <v>540736628</v>
      </c>
      <c r="K112" s="22">
        <f>MUNICIPIOS!N111</f>
        <v>1533411193.5062747</v>
      </c>
      <c r="L112" s="22">
        <f t="shared" si="8"/>
        <v>992674565.5062747</v>
      </c>
      <c r="M112" s="89">
        <f t="shared" si="6"/>
        <v>0.35263641630498332</v>
      </c>
    </row>
    <row r="113" spans="1:13" x14ac:dyDescent="0.25">
      <c r="A113" s="87" t="s">
        <v>123</v>
      </c>
      <c r="B113" s="88" t="s">
        <v>126</v>
      </c>
      <c r="C113" s="21">
        <v>0</v>
      </c>
      <c r="D113" s="21">
        <v>207846273.80777219</v>
      </c>
      <c r="E113" s="21">
        <v>0</v>
      </c>
      <c r="F113" s="21">
        <v>579833428.2951113</v>
      </c>
      <c r="G113" s="22">
        <v>0</v>
      </c>
      <c r="H113" s="22">
        <v>463866742.63608909</v>
      </c>
      <c r="I113" s="22">
        <v>664535112</v>
      </c>
      <c r="J113" s="22">
        <f>MUNICIPIOS!M112</f>
        <v>664535112</v>
      </c>
      <c r="K113" s="22">
        <f>MUNICIPIOS!N112</f>
        <v>787679701.84386134</v>
      </c>
      <c r="L113" s="22">
        <f t="shared" si="8"/>
        <v>123144589.84386134</v>
      </c>
      <c r="M113" s="89">
        <f t="shared" si="6"/>
        <v>0.8436615929601905</v>
      </c>
    </row>
    <row r="114" spans="1:13" x14ac:dyDescent="0.25">
      <c r="A114" s="87" t="s">
        <v>123</v>
      </c>
      <c r="B114" s="88" t="s">
        <v>127</v>
      </c>
      <c r="C114" s="21">
        <v>389828724.89081872</v>
      </c>
      <c r="D114" s="21">
        <v>369892065.22769815</v>
      </c>
      <c r="E114" s="21">
        <v>718028383.15071428</v>
      </c>
      <c r="F114" s="21">
        <v>1022846748.3744063</v>
      </c>
      <c r="G114" s="22">
        <v>0</v>
      </c>
      <c r="H114" s="22">
        <v>1392700105.2200966</v>
      </c>
      <c r="I114" s="22">
        <v>1300000000</v>
      </c>
      <c r="J114" s="22">
        <f>MUNICIPIOS!M113</f>
        <v>1300000000</v>
      </c>
      <c r="K114" s="22">
        <f>MUNICIPIOS!N113</f>
        <v>2356990244.9386134</v>
      </c>
      <c r="L114" s="22">
        <f t="shared" si="8"/>
        <v>1056990244.9386134</v>
      </c>
      <c r="M114" s="89">
        <f t="shared" si="6"/>
        <v>0.55155086143933441</v>
      </c>
    </row>
    <row r="115" spans="1:13" x14ac:dyDescent="0.25">
      <c r="A115" s="87" t="s">
        <v>123</v>
      </c>
      <c r="B115" s="88" t="s">
        <v>128</v>
      </c>
      <c r="C115" s="21">
        <v>274920320.69674766</v>
      </c>
      <c r="D115" s="21">
        <v>342160879.71846426</v>
      </c>
      <c r="E115" s="21">
        <v>405576717.00685525</v>
      </c>
      <c r="F115" s="21">
        <v>951429795.79764116</v>
      </c>
      <c r="G115" s="22">
        <v>0</v>
      </c>
      <c r="H115" s="22">
        <v>1085605210.243597</v>
      </c>
      <c r="I115" s="22">
        <v>857000000</v>
      </c>
      <c r="J115" s="22">
        <f>MUNICIPIOS!M114</f>
        <v>857000000</v>
      </c>
      <c r="K115" s="22">
        <f>MUNICIPIOS!N114</f>
        <v>1892972369.6588089</v>
      </c>
      <c r="L115" s="22">
        <f t="shared" si="8"/>
        <v>1035972369.6588089</v>
      </c>
      <c r="M115" s="89">
        <f t="shared" si="6"/>
        <v>0.45272715742515907</v>
      </c>
    </row>
    <row r="116" spans="1:13" x14ac:dyDescent="0.25">
      <c r="A116" s="87" t="s">
        <v>123</v>
      </c>
      <c r="B116" s="88" t="s">
        <v>129</v>
      </c>
      <c r="C116" s="21">
        <v>0</v>
      </c>
      <c r="D116" s="21">
        <v>331653262.7268123</v>
      </c>
      <c r="E116" s="21">
        <v>0</v>
      </c>
      <c r="F116" s="21">
        <v>932701606.36803377</v>
      </c>
      <c r="G116" s="22">
        <v>20000000</v>
      </c>
      <c r="H116" s="22">
        <v>746161285.09442711</v>
      </c>
      <c r="I116" s="22">
        <v>351635263</v>
      </c>
      <c r="J116" s="22">
        <f>MUNICIPIOS!M115</f>
        <v>1051653263</v>
      </c>
      <c r="K116" s="22">
        <f>MUNICIPIOS!N115</f>
        <v>1264354868.8212395</v>
      </c>
      <c r="L116" s="22">
        <f t="shared" si="8"/>
        <v>212701605.82123947</v>
      </c>
      <c r="M116" s="89">
        <f t="shared" si="6"/>
        <v>0.83177064361721353</v>
      </c>
    </row>
    <row r="117" spans="1:13" x14ac:dyDescent="0.25">
      <c r="A117" s="87" t="s">
        <v>123</v>
      </c>
      <c r="B117" s="88" t="s">
        <v>130</v>
      </c>
      <c r="C117" s="21">
        <v>0</v>
      </c>
      <c r="D117" s="21">
        <v>360977789.99350899</v>
      </c>
      <c r="E117" s="21">
        <v>0</v>
      </c>
      <c r="F117" s="21">
        <v>1021141239.2545499</v>
      </c>
      <c r="G117" s="22">
        <v>0</v>
      </c>
      <c r="H117" s="22">
        <v>816912991.40363991</v>
      </c>
      <c r="I117" s="22">
        <v>360977790</v>
      </c>
      <c r="J117" s="22">
        <f>MUNICIPIOS!M116</f>
        <v>360968556</v>
      </c>
      <c r="K117" s="22">
        <f>MUNICIPIOS!N116</f>
        <v>1382119029.1971488</v>
      </c>
      <c r="L117" s="22">
        <f t="shared" si="8"/>
        <v>1021150473.1971488</v>
      </c>
      <c r="M117" s="89">
        <f t="shared" si="6"/>
        <v>0.26117038285022454</v>
      </c>
    </row>
    <row r="118" spans="1:13" x14ac:dyDescent="0.25">
      <c r="A118" s="87" t="s">
        <v>123</v>
      </c>
      <c r="B118" s="88" t="s">
        <v>131</v>
      </c>
      <c r="C118" s="21">
        <v>330199122.39855283</v>
      </c>
      <c r="D118" s="21">
        <v>225597643.61108926</v>
      </c>
      <c r="E118" s="21">
        <v>373749186.392721</v>
      </c>
      <c r="F118" s="21">
        <v>633311362.4325794</v>
      </c>
      <c r="G118" s="22">
        <v>780495498</v>
      </c>
      <c r="H118" s="22">
        <v>805648439.06024039</v>
      </c>
      <c r="I118" s="22">
        <v>1553076049</v>
      </c>
      <c r="J118" s="22">
        <f>MUNICIPIOS!M117</f>
        <v>772580551</v>
      </c>
      <c r="K118" s="22">
        <f>MUNICIPIOS!N117</f>
        <v>1488107477.2698827</v>
      </c>
      <c r="L118" s="22">
        <f t="shared" si="8"/>
        <v>715526926.26988268</v>
      </c>
      <c r="M118" s="89">
        <f t="shared" si="6"/>
        <v>0.51916986024248368</v>
      </c>
    </row>
    <row r="119" spans="1:13" x14ac:dyDescent="0.25">
      <c r="A119" s="87" t="s">
        <v>123</v>
      </c>
      <c r="B119" s="88" t="s">
        <v>132</v>
      </c>
      <c r="C119" s="21">
        <v>131308163.51254579</v>
      </c>
      <c r="D119" s="21">
        <v>279691383.29480898</v>
      </c>
      <c r="E119" s="21">
        <v>188094185.02742282</v>
      </c>
      <c r="F119" s="21">
        <v>783111575.19079709</v>
      </c>
      <c r="G119" s="22">
        <v>570320587</v>
      </c>
      <c r="H119" s="22">
        <v>776964608.17457592</v>
      </c>
      <c r="I119" s="22">
        <v>1490708045</v>
      </c>
      <c r="J119" s="22">
        <f>MUNICIPIOS!M118</f>
        <v>920387458</v>
      </c>
      <c r="K119" s="22">
        <f>MUNICIPIOS!N118</f>
        <v>1344586469.7819309</v>
      </c>
      <c r="L119" s="22">
        <f t="shared" si="8"/>
        <v>424199011.78193092</v>
      </c>
      <c r="M119" s="89">
        <f t="shared" si="6"/>
        <v>0.68451340146927941</v>
      </c>
    </row>
    <row r="120" spans="1:13" x14ac:dyDescent="0.25">
      <c r="A120" s="87" t="s">
        <v>123</v>
      </c>
      <c r="B120" s="88" t="s">
        <v>158</v>
      </c>
      <c r="C120" s="21">
        <v>989630.31241876876</v>
      </c>
      <c r="D120" s="21">
        <v>637301942.8987993</v>
      </c>
      <c r="E120" s="21">
        <v>2157106.7732344102</v>
      </c>
      <c r="F120" s="21">
        <v>1773493164.6365395</v>
      </c>
      <c r="G120" s="22">
        <v>1049400246</v>
      </c>
      <c r="H120" s="22">
        <v>1420520217.1278191</v>
      </c>
      <c r="I120" s="22">
        <v>2514702189</v>
      </c>
      <c r="J120" s="22">
        <f>MUNICIPIOS!M119</f>
        <v>865301943</v>
      </c>
      <c r="K120" s="22">
        <f>MUNICIPIOS!N119</f>
        <v>2413941844.1390371</v>
      </c>
      <c r="L120" s="22">
        <f t="shared" si="8"/>
        <v>1548639901.1390371</v>
      </c>
      <c r="M120" s="89">
        <f t="shared" si="6"/>
        <v>0.35846014480461558</v>
      </c>
    </row>
    <row r="121" spans="1:13" x14ac:dyDescent="0.25">
      <c r="L121" s="18"/>
      <c r="M121" s="18"/>
    </row>
  </sheetData>
  <autoFilter ref="A3:N120">
    <sortState ref="A5:N120">
      <sortCondition ref="A3:A120"/>
    </sortState>
  </autoFilter>
  <sortState ref="A4:K119">
    <sortCondition ref="A3"/>
  </sortState>
  <mergeCells count="12">
    <mergeCell ref="M2:M3"/>
    <mergeCell ref="A1:L1"/>
    <mergeCell ref="A2:A3"/>
    <mergeCell ref="B2:B3"/>
    <mergeCell ref="G2:G3"/>
    <mergeCell ref="H2:H3"/>
    <mergeCell ref="K2:K3"/>
    <mergeCell ref="I2:I3"/>
    <mergeCell ref="J2:J3"/>
    <mergeCell ref="L2:L3"/>
    <mergeCell ref="C2:D2"/>
    <mergeCell ref="E2:F2"/>
  </mergeCells>
  <pageMargins left="0.70866141732283472" right="0.51181102362204722" top="0.74803149606299213" bottom="0.74803149606299213" header="0.31496062992125984" footer="0.31496062992125984"/>
  <pageSetup scale="9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zoomScale="90" zoomScaleNormal="90" workbookViewId="0">
      <selection activeCell="P13" sqref="P1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topLeftCell="B1" zoomScale="90" zoomScaleNormal="90" workbookViewId="0">
      <selection activeCell="I12" sqref="I12"/>
    </sheetView>
  </sheetViews>
  <sheetFormatPr baseColWidth="10" defaultRowHeight="15" x14ac:dyDescent="0.25"/>
  <cols>
    <col min="2" max="2" width="20.140625" customWidth="1"/>
    <col min="3" max="3" width="16.42578125" customWidth="1"/>
    <col min="4" max="4" width="16.7109375" customWidth="1"/>
    <col min="5" max="5" width="17.28515625" customWidth="1"/>
    <col min="6" max="6" width="7.28515625" customWidth="1"/>
    <col min="7" max="7" width="17.28515625" customWidth="1"/>
    <col min="8" max="8" width="7.7109375" customWidth="1"/>
  </cols>
  <sheetData>
    <row r="1" spans="2:8" x14ac:dyDescent="0.25">
      <c r="B1" s="121" t="s">
        <v>177</v>
      </c>
      <c r="C1" s="122"/>
      <c r="D1" s="122"/>
      <c r="E1" s="122"/>
      <c r="F1" s="122"/>
      <c r="G1" s="122"/>
      <c r="H1" s="123"/>
    </row>
    <row r="2" spans="2:8" ht="33.75" customHeight="1" x14ac:dyDescent="0.25">
      <c r="B2" s="124" t="s">
        <v>171</v>
      </c>
      <c r="C2" s="125" t="s">
        <v>172</v>
      </c>
      <c r="D2" s="125" t="s">
        <v>173</v>
      </c>
      <c r="E2" s="126" t="s">
        <v>170</v>
      </c>
      <c r="F2" s="127"/>
      <c r="G2" s="125" t="s">
        <v>144</v>
      </c>
      <c r="H2" s="128"/>
    </row>
    <row r="3" spans="2:8" ht="29.25" customHeight="1" x14ac:dyDescent="0.25">
      <c r="B3" s="124"/>
      <c r="C3" s="125"/>
      <c r="D3" s="125"/>
      <c r="E3" s="51" t="s">
        <v>175</v>
      </c>
      <c r="F3" s="51" t="s">
        <v>176</v>
      </c>
      <c r="G3" s="51" t="s">
        <v>175</v>
      </c>
      <c r="H3" s="52" t="s">
        <v>176</v>
      </c>
    </row>
    <row r="4" spans="2:8" x14ac:dyDescent="0.25">
      <c r="B4" s="56" t="s">
        <v>0</v>
      </c>
      <c r="C4" s="24">
        <f>SUM(MUNICIPIOS!N4:N10)</f>
        <v>9656979768.160553</v>
      </c>
      <c r="D4" s="24">
        <f>SUM(MUNICIPIOS!L4:L10)</f>
        <v>16777003235</v>
      </c>
      <c r="E4" s="24">
        <f>SUM('MUNICIPIOS G'!J4:J10)</f>
        <v>5558449267</v>
      </c>
      <c r="F4" s="25">
        <f>E4/C4</f>
        <v>0.57558878660245605</v>
      </c>
      <c r="G4" s="24">
        <f>C4-E4</f>
        <v>4098530501.160553</v>
      </c>
      <c r="H4" s="26">
        <f>G4/C4</f>
        <v>0.42441121339754395</v>
      </c>
    </row>
    <row r="5" spans="2:8" x14ac:dyDescent="0.25">
      <c r="B5" s="56" t="s">
        <v>11</v>
      </c>
      <c r="C5" s="24">
        <f>SUM(MUNICIPIOS!N11:N18)</f>
        <v>6490756536.5496426</v>
      </c>
      <c r="D5" s="24">
        <f>SUM('MUNICIPIOS G'!I11:I18)</f>
        <v>6650719602</v>
      </c>
      <c r="E5" s="24">
        <f>SUM('MUNICIPIOS G'!J11:J18)</f>
        <v>2317099578</v>
      </c>
      <c r="F5" s="25">
        <f t="shared" ref="F5:F18" si="0">E5/C5</f>
        <v>0.35698451558802791</v>
      </c>
      <c r="G5" s="24">
        <f t="shared" ref="G5:G17" si="1">C5-E5</f>
        <v>4173656958.5496426</v>
      </c>
      <c r="H5" s="26">
        <f t="shared" ref="H5:H18" si="2">G5/C5</f>
        <v>0.64301548441197209</v>
      </c>
    </row>
    <row r="6" spans="2:8" x14ac:dyDescent="0.25">
      <c r="B6" s="56" t="s">
        <v>21</v>
      </c>
      <c r="C6" s="24">
        <f>SUM(MUNICIPIOS!N19:N21)</f>
        <v>8510742561.6640339</v>
      </c>
      <c r="D6" s="24">
        <f>SUM('MUNICIPIOS G'!I19:I21)</f>
        <v>2729850325</v>
      </c>
      <c r="E6" s="24">
        <f>SUM('MUNICIPIOS G'!J19:J21)</f>
        <v>2384540363</v>
      </c>
      <c r="F6" s="25">
        <f t="shared" si="0"/>
        <v>0.28018006016783698</v>
      </c>
      <c r="G6" s="24">
        <f t="shared" si="1"/>
        <v>6126202198.6640339</v>
      </c>
      <c r="H6" s="26">
        <f t="shared" si="2"/>
        <v>0.71981993983216308</v>
      </c>
    </row>
    <row r="7" spans="2:8" x14ac:dyDescent="0.25">
      <c r="B7" s="56" t="s">
        <v>25</v>
      </c>
      <c r="C7" s="24">
        <f>SUM('MUNICIPIOS G'!K22:K33)</f>
        <v>11866068209.866682</v>
      </c>
      <c r="D7" s="24">
        <f>SUM('MUNICIPIOS G'!I22:I33)</f>
        <v>22057226828</v>
      </c>
      <c r="E7" s="24">
        <f>SUM('MUNICIPIOS G'!J22:J33)</f>
        <v>5962938714</v>
      </c>
      <c r="F7" s="25">
        <f t="shared" si="0"/>
        <v>0.50252017842285734</v>
      </c>
      <c r="G7" s="24">
        <f t="shared" si="1"/>
        <v>5903129495.8666821</v>
      </c>
      <c r="H7" s="26">
        <f t="shared" si="2"/>
        <v>0.49747982157714271</v>
      </c>
    </row>
    <row r="8" spans="2:8" x14ac:dyDescent="0.25">
      <c r="B8" s="56" t="s">
        <v>47</v>
      </c>
      <c r="C8" s="24">
        <f>SUM('MUNICIPIOS G'!K34:K41)</f>
        <v>9362269876.6236076</v>
      </c>
      <c r="D8" s="24">
        <f>SUM('MUNICIPIOS G'!I34:I41)</f>
        <v>7222837429</v>
      </c>
      <c r="E8" s="24">
        <f>SUM('MUNICIPIOS G'!J34:J41)</f>
        <v>3640500611</v>
      </c>
      <c r="F8" s="25">
        <f t="shared" si="0"/>
        <v>0.38884807412888889</v>
      </c>
      <c r="G8" s="24">
        <f t="shared" si="1"/>
        <v>5721769265.6236076</v>
      </c>
      <c r="H8" s="26">
        <f t="shared" si="2"/>
        <v>0.61115192587111111</v>
      </c>
    </row>
    <row r="9" spans="2:8" x14ac:dyDescent="0.25">
      <c r="B9" s="56" t="s">
        <v>82</v>
      </c>
      <c r="C9" s="24">
        <f>SUM('MUNICIPIOS G'!K42:K48)</f>
        <v>5059278826.4465561</v>
      </c>
      <c r="D9" s="24">
        <f>SUM('MUNICIPIOS G'!I42:I48)</f>
        <v>12945965221</v>
      </c>
      <c r="E9" s="24">
        <f>SUM('MUNICIPIOS G'!J42:J48)</f>
        <v>2519904567</v>
      </c>
      <c r="F9" s="25">
        <f t="shared" si="0"/>
        <v>0.4980758431078377</v>
      </c>
      <c r="G9" s="24">
        <f t="shared" si="1"/>
        <v>2539374259.4465561</v>
      </c>
      <c r="H9" s="26">
        <f t="shared" si="2"/>
        <v>0.5019241568921623</v>
      </c>
    </row>
    <row r="10" spans="2:8" x14ac:dyDescent="0.25">
      <c r="B10" s="56" t="s">
        <v>68</v>
      </c>
      <c r="C10" s="24">
        <f>SUM('MUNICIPIOS G'!K49:K50)</f>
        <v>2015804134.1896908</v>
      </c>
      <c r="D10" s="24">
        <f>SUM('MUNICIPIOS G'!I49:I50)</f>
        <v>274419274</v>
      </c>
      <c r="E10" s="24">
        <f>SUM('MUNICIPIOS G'!J49:J50)</f>
        <v>233871681</v>
      </c>
      <c r="F10" s="25">
        <f t="shared" si="0"/>
        <v>0.11601905018118802</v>
      </c>
      <c r="G10" s="24">
        <f t="shared" si="1"/>
        <v>1781932453.1896908</v>
      </c>
      <c r="H10" s="26">
        <f t="shared" si="2"/>
        <v>0.88398094981881203</v>
      </c>
    </row>
    <row r="11" spans="2:8" x14ac:dyDescent="0.25">
      <c r="B11" s="56" t="s">
        <v>71</v>
      </c>
      <c r="C11" s="24">
        <f>SUM('MUNICIPIOS G'!K51:K60)</f>
        <v>10448710920.868645</v>
      </c>
      <c r="D11" s="24">
        <f>SUM('MUNICIPIOS G'!I51:I60)</f>
        <v>12650209950.790001</v>
      </c>
      <c r="E11" s="24">
        <f>SUM('MUNICIPIOS G'!J51:J60)</f>
        <v>5467863561.79</v>
      </c>
      <c r="F11" s="25">
        <f t="shared" si="0"/>
        <v>0.52330508549809074</v>
      </c>
      <c r="G11" s="24">
        <f t="shared" si="1"/>
        <v>4980847359.0786448</v>
      </c>
      <c r="H11" s="26">
        <f t="shared" si="2"/>
        <v>0.47669491450190932</v>
      </c>
    </row>
    <row r="12" spans="2:8" x14ac:dyDescent="0.25">
      <c r="B12" s="56" t="s">
        <v>38</v>
      </c>
      <c r="C12" s="24">
        <f>SUM('MUNICIPIOS G'!K61:K68)</f>
        <v>7597498384.9650488</v>
      </c>
      <c r="D12" s="24">
        <f>SUM('MUNICIPIOS G'!I61:I68)</f>
        <v>13443800148</v>
      </c>
      <c r="E12" s="24">
        <f>SUM('MUNICIPIOS G'!J61:J68)</f>
        <v>3940427399</v>
      </c>
      <c r="F12" s="25">
        <f t="shared" si="0"/>
        <v>0.518648007454381</v>
      </c>
      <c r="G12" s="24">
        <f t="shared" si="1"/>
        <v>3657070985.9650488</v>
      </c>
      <c r="H12" s="26">
        <f t="shared" si="2"/>
        <v>0.48135199254561906</v>
      </c>
    </row>
    <row r="13" spans="2:8" x14ac:dyDescent="0.25">
      <c r="B13" s="56" t="s">
        <v>90</v>
      </c>
      <c r="C13" s="24">
        <f>SUM('MUNICIPIOS G'!K69:K78)</f>
        <v>9105126795.2434006</v>
      </c>
      <c r="D13" s="24">
        <f>SUM('MUNICIPIOS G'!I69:I78)</f>
        <v>2507877719</v>
      </c>
      <c r="E13" s="24">
        <f>SUM('MUNICIPIOS G'!J69:J78)</f>
        <v>4588255477</v>
      </c>
      <c r="F13" s="25">
        <f t="shared" si="0"/>
        <v>0.50391999806053722</v>
      </c>
      <c r="G13" s="24">
        <f t="shared" si="1"/>
        <v>4516871318.2434006</v>
      </c>
      <c r="H13" s="26">
        <f t="shared" si="2"/>
        <v>0.49608000193946278</v>
      </c>
    </row>
    <row r="14" spans="2:8" x14ac:dyDescent="0.25">
      <c r="B14" s="56" t="s">
        <v>56</v>
      </c>
      <c r="C14" s="24">
        <f>SUM('MUNICIPIOS G'!K79:K87)</f>
        <v>6328528380.5415697</v>
      </c>
      <c r="D14" s="24">
        <f>SUM('MUNICIPIOS G'!I79:I87)</f>
        <v>994405756</v>
      </c>
      <c r="E14" s="24">
        <f>SUM('MUNICIPIOS G'!J79:J87)</f>
        <v>1768022150</v>
      </c>
      <c r="F14" s="25">
        <f t="shared" si="0"/>
        <v>0.27937334616941384</v>
      </c>
      <c r="G14" s="24">
        <f t="shared" si="1"/>
        <v>4560506230.5415697</v>
      </c>
      <c r="H14" s="26">
        <f t="shared" si="2"/>
        <v>0.72062665383058611</v>
      </c>
    </row>
    <row r="15" spans="2:8" x14ac:dyDescent="0.25">
      <c r="B15" s="56" t="s">
        <v>174</v>
      </c>
      <c r="C15" s="24">
        <f>SUM('MUNICIPIOS G'!K88:K89)</f>
        <v>2154561391.7809939</v>
      </c>
      <c r="D15" s="24">
        <f>SUM('MUNICIPIOS G'!I88:I89)</f>
        <v>1229806885</v>
      </c>
      <c r="E15" s="24">
        <f>SUM('MUNICIPIOS G'!J88:J89)</f>
        <v>1229806885</v>
      </c>
      <c r="F15" s="25">
        <f t="shared" si="0"/>
        <v>0.57079222234805871</v>
      </c>
      <c r="G15" s="24">
        <f t="shared" si="1"/>
        <v>924754506.78099394</v>
      </c>
      <c r="H15" s="26">
        <f t="shared" si="2"/>
        <v>0.42920777765194124</v>
      </c>
    </row>
    <row r="16" spans="2:8" x14ac:dyDescent="0.25">
      <c r="B16" s="56" t="s">
        <v>101</v>
      </c>
      <c r="C16" s="24">
        <f>SUM('MUNICIPIOS G'!K90:K99)</f>
        <v>8973679139.621376</v>
      </c>
      <c r="D16" s="24">
        <f>SUM('MUNICIPIOS G'!I90:I99)</f>
        <v>11345405906</v>
      </c>
      <c r="E16" s="24">
        <f>SUM('MUNICIPIOS G'!J90:J99)</f>
        <v>4055444620</v>
      </c>
      <c r="F16" s="25">
        <f t="shared" si="0"/>
        <v>0.45192663531884542</v>
      </c>
      <c r="G16" s="24">
        <f>C16-E16</f>
        <v>4918234519.621376</v>
      </c>
      <c r="H16" s="26">
        <f t="shared" si="2"/>
        <v>0.54807336468115464</v>
      </c>
    </row>
    <row r="17" spans="2:8" x14ac:dyDescent="0.25">
      <c r="B17" s="56" t="s">
        <v>112</v>
      </c>
      <c r="C17" s="24">
        <f>SUM('MUNICIPIOS G'!K100:K109)</f>
        <v>116131066914.03615</v>
      </c>
      <c r="D17" s="24">
        <f>SUM('MUNICIPIOS G'!I100:I109)</f>
        <v>10273476245</v>
      </c>
      <c r="E17" s="24">
        <f>SUM('MUNICIPIOS G'!J100:J109)</f>
        <v>52343030395.790001</v>
      </c>
      <c r="F17" s="25">
        <f t="shared" si="0"/>
        <v>0.4507237536578903</v>
      </c>
      <c r="G17" s="24">
        <f t="shared" si="1"/>
        <v>63788036518.246147</v>
      </c>
      <c r="H17" s="26">
        <f t="shared" si="2"/>
        <v>0.5492762463421097</v>
      </c>
    </row>
    <row r="18" spans="2:8" x14ac:dyDescent="0.25">
      <c r="B18" s="56" t="s">
        <v>123</v>
      </c>
      <c r="C18" s="24">
        <f>SUM('MUNICIPIOS G'!K110:K119)</f>
        <v>14588831341.649015</v>
      </c>
      <c r="D18" s="24">
        <f>SUM('MUNICIPIOS G'!I110:I119)</f>
        <v>13697993406</v>
      </c>
      <c r="E18" s="24">
        <f>SUM('MUNICIPIOS G'!J110:J119)</f>
        <v>8029921568</v>
      </c>
      <c r="F18" s="25">
        <f t="shared" si="0"/>
        <v>0.55041568306268152</v>
      </c>
      <c r="G18" s="24">
        <f>C18-E18</f>
        <v>6558909773.6490154</v>
      </c>
      <c r="H18" s="26">
        <f t="shared" si="2"/>
        <v>0.44958431693731843</v>
      </c>
    </row>
    <row r="19" spans="2:8" ht="15.75" thickBot="1" x14ac:dyDescent="0.3">
      <c r="B19" s="53" t="s">
        <v>164</v>
      </c>
      <c r="C19" s="54">
        <f>SUM(C4:C18)</f>
        <v>228289903182.20694</v>
      </c>
      <c r="D19" s="54">
        <f>SUM(D4:D18)</f>
        <v>134800997929.79001</v>
      </c>
      <c r="E19" s="54">
        <f>SUM(E4:E18)</f>
        <v>104040076837.58</v>
      </c>
      <c r="F19" s="55">
        <f>E19/C19</f>
        <v>0.45573665496078303</v>
      </c>
      <c r="G19" s="54">
        <f>SUM(G4:G18)</f>
        <v>124249826344.62697</v>
      </c>
      <c r="H19" s="55">
        <f>G19/C19</f>
        <v>0.54426334503921714</v>
      </c>
    </row>
    <row r="21" spans="2:8" x14ac:dyDescent="0.25">
      <c r="D21" s="4"/>
    </row>
    <row r="25" spans="2:8" x14ac:dyDescent="0.25">
      <c r="C25" s="81" t="s">
        <v>251</v>
      </c>
      <c r="D25" s="80">
        <v>8775</v>
      </c>
    </row>
    <row r="26" spans="2:8" x14ac:dyDescent="0.25">
      <c r="C26" s="82" t="s">
        <v>252</v>
      </c>
      <c r="D26" s="80">
        <v>4895</v>
      </c>
    </row>
  </sheetData>
  <mergeCells count="6">
    <mergeCell ref="B1:H1"/>
    <mergeCell ref="B2:B3"/>
    <mergeCell ref="C2:C3"/>
    <mergeCell ref="D2:D3"/>
    <mergeCell ref="E2:F2"/>
    <mergeCell ref="G2:H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2"/>
  <sheetViews>
    <sheetView zoomScale="70" zoomScaleNormal="70" workbookViewId="0">
      <pane ySplit="3" topLeftCell="A37" activePane="bottomLeft" state="frozen"/>
      <selection activeCell="C1" sqref="C1"/>
      <selection pane="bottomLeft" activeCell="P13" sqref="P13"/>
    </sheetView>
  </sheetViews>
  <sheetFormatPr baseColWidth="10" defaultRowHeight="15" x14ac:dyDescent="0.25"/>
  <cols>
    <col min="1" max="1" width="22.7109375" customWidth="1"/>
    <col min="2" max="2" width="23.85546875" customWidth="1"/>
    <col min="3" max="3" width="16.28515625" hidden="1" customWidth="1"/>
    <col min="4" max="4" width="16.42578125" hidden="1" customWidth="1"/>
    <col min="5" max="5" width="16.7109375" hidden="1" customWidth="1"/>
    <col min="6" max="6" width="16.85546875" hidden="1" customWidth="1"/>
    <col min="7" max="8" width="17.140625" hidden="1" customWidth="1"/>
    <col min="9" max="9" width="18.28515625" hidden="1" customWidth="1"/>
    <col min="10" max="10" width="19.28515625" customWidth="1"/>
    <col min="11" max="11" width="17.7109375" customWidth="1"/>
    <col min="12" max="12" width="20.5703125" customWidth="1"/>
    <col min="13" max="14" width="23.7109375" hidden="1" customWidth="1"/>
    <col min="15" max="15" width="36.5703125" hidden="1" customWidth="1"/>
    <col min="16" max="16" width="24" customWidth="1"/>
    <col min="17" max="17" width="25" customWidth="1"/>
  </cols>
  <sheetData>
    <row r="1" spans="1:16" ht="33.75" customHeight="1" x14ac:dyDescent="0.25">
      <c r="A1" s="130" t="s">
        <v>197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</row>
    <row r="2" spans="1:16" ht="15.75" customHeight="1" x14ac:dyDescent="0.25">
      <c r="A2" s="133" t="s">
        <v>167</v>
      </c>
      <c r="B2" s="117" t="s">
        <v>166</v>
      </c>
      <c r="C2" s="134">
        <v>2012</v>
      </c>
      <c r="D2" s="134"/>
      <c r="E2" s="134" t="s">
        <v>8</v>
      </c>
      <c r="F2" s="134"/>
      <c r="G2" s="117" t="s">
        <v>169</v>
      </c>
      <c r="H2" s="117" t="s">
        <v>178</v>
      </c>
      <c r="I2" s="117" t="s">
        <v>165</v>
      </c>
      <c r="J2" s="117" t="s">
        <v>170</v>
      </c>
      <c r="K2" s="117" t="s">
        <v>168</v>
      </c>
      <c r="L2" s="117" t="s">
        <v>229</v>
      </c>
      <c r="M2" s="117" t="s">
        <v>228</v>
      </c>
      <c r="N2" s="117" t="s">
        <v>230</v>
      </c>
      <c r="O2" s="117" t="s">
        <v>145</v>
      </c>
      <c r="P2" s="129" t="s">
        <v>249</v>
      </c>
    </row>
    <row r="3" spans="1:16" ht="31.5" customHeight="1" x14ac:dyDescent="0.25">
      <c r="A3" s="133"/>
      <c r="B3" s="117"/>
      <c r="C3" s="68" t="s">
        <v>162</v>
      </c>
      <c r="D3" s="68" t="s">
        <v>163</v>
      </c>
      <c r="E3" s="68" t="s">
        <v>162</v>
      </c>
      <c r="F3" s="68" t="s">
        <v>163</v>
      </c>
      <c r="G3" s="117"/>
      <c r="H3" s="117"/>
      <c r="I3" s="117"/>
      <c r="J3" s="117"/>
      <c r="K3" s="117"/>
      <c r="L3" s="117"/>
      <c r="M3" s="117"/>
      <c r="N3" s="117"/>
      <c r="O3" s="117"/>
      <c r="P3" s="129"/>
    </row>
    <row r="4" spans="1:16" x14ac:dyDescent="0.25">
      <c r="A4" s="69" t="s">
        <v>11</v>
      </c>
      <c r="B4" s="60" t="s">
        <v>12</v>
      </c>
      <c r="C4" s="61">
        <v>0</v>
      </c>
      <c r="D4" s="61">
        <v>304752333.27996975</v>
      </c>
      <c r="E4" s="61">
        <v>0</v>
      </c>
      <c r="F4" s="61">
        <v>837606521.84398103</v>
      </c>
      <c r="G4" s="62">
        <v>1179534880</v>
      </c>
      <c r="H4" s="62">
        <f t="shared" ref="H4:H35" si="0">(E4+F4)*80%</f>
        <v>670085217.47518492</v>
      </c>
      <c r="I4" s="62">
        <v>1372034880</v>
      </c>
      <c r="J4" s="62">
        <v>416524687</v>
      </c>
      <c r="K4" s="62">
        <f>H4+D4+C4</f>
        <v>974837550.75515461</v>
      </c>
      <c r="L4" s="62">
        <f>K4-J4</f>
        <v>558312863.75515461</v>
      </c>
      <c r="M4" s="63">
        <v>558312862.27996969</v>
      </c>
      <c r="N4" s="63">
        <f>L4-M4</f>
        <v>1.4751849174499512</v>
      </c>
      <c r="O4" s="63"/>
      <c r="P4" s="70">
        <f>L4/K4</f>
        <v>0.57272400239676802</v>
      </c>
    </row>
    <row r="5" spans="1:16" x14ac:dyDescent="0.25">
      <c r="A5" s="69" t="s">
        <v>25</v>
      </c>
      <c r="B5" s="60" t="s">
        <v>26</v>
      </c>
      <c r="C5" s="61">
        <v>0</v>
      </c>
      <c r="D5" s="61">
        <v>227183585.8893567</v>
      </c>
      <c r="E5" s="61">
        <v>0</v>
      </c>
      <c r="F5" s="61">
        <v>628910510.71827412</v>
      </c>
      <c r="G5" s="62">
        <v>0</v>
      </c>
      <c r="H5" s="62">
        <f t="shared" si="0"/>
        <v>503128408.57461929</v>
      </c>
      <c r="I5" s="62">
        <v>0</v>
      </c>
      <c r="J5" s="62">
        <v>270000000</v>
      </c>
      <c r="K5" s="62">
        <f t="shared" ref="K5:K68" si="1">H5+D5+C5</f>
        <v>730311994.46397603</v>
      </c>
      <c r="L5" s="62">
        <f t="shared" ref="L5:L68" si="2">K5-J5</f>
        <v>460311994.46397603</v>
      </c>
      <c r="M5" s="63">
        <v>460311993.88935661</v>
      </c>
      <c r="N5" s="63">
        <f t="shared" ref="N5:N68" si="3">L5-M5</f>
        <v>0.57461941242218018</v>
      </c>
      <c r="O5" s="63"/>
      <c r="P5" s="70">
        <f t="shared" ref="P5:P68" si="4">L5/K5</f>
        <v>0.63029499440417824</v>
      </c>
    </row>
    <row r="6" spans="1:16" x14ac:dyDescent="0.25">
      <c r="A6" s="69" t="s">
        <v>112</v>
      </c>
      <c r="B6" s="60" t="s">
        <v>113</v>
      </c>
      <c r="C6" s="61">
        <v>0</v>
      </c>
      <c r="D6" s="61">
        <v>380691577.38155377</v>
      </c>
      <c r="E6" s="61">
        <v>0</v>
      </c>
      <c r="F6" s="61">
        <v>1067716482.9144099</v>
      </c>
      <c r="G6" s="62">
        <v>0</v>
      </c>
      <c r="H6" s="62">
        <f t="shared" si="0"/>
        <v>854173186.33152795</v>
      </c>
      <c r="I6" s="62">
        <v>0</v>
      </c>
      <c r="J6" s="62">
        <v>350450250</v>
      </c>
      <c r="K6" s="62">
        <f t="shared" si="1"/>
        <v>1234864763.7130818</v>
      </c>
      <c r="L6" s="62">
        <f t="shared" si="2"/>
        <v>884414513.71308184</v>
      </c>
      <c r="M6" s="63">
        <v>884414512.18155384</v>
      </c>
      <c r="N6" s="63">
        <f t="shared" si="3"/>
        <v>1.5315279960632324</v>
      </c>
      <c r="O6" s="63"/>
      <c r="P6" s="70">
        <f t="shared" si="4"/>
        <v>0.71620353880190046</v>
      </c>
    </row>
    <row r="7" spans="1:16" x14ac:dyDescent="0.25">
      <c r="A7" s="69" t="s">
        <v>112</v>
      </c>
      <c r="B7" s="60" t="s">
        <v>114</v>
      </c>
      <c r="C7" s="61">
        <v>0</v>
      </c>
      <c r="D7" s="61">
        <v>362036728.68288052</v>
      </c>
      <c r="E7" s="61">
        <v>0</v>
      </c>
      <c r="F7" s="61">
        <v>994905583.68602431</v>
      </c>
      <c r="G7" s="62">
        <v>0</v>
      </c>
      <c r="H7" s="62">
        <f t="shared" si="0"/>
        <v>795924466.94881952</v>
      </c>
      <c r="I7" s="62">
        <v>0</v>
      </c>
      <c r="J7" s="62">
        <v>240000000</v>
      </c>
      <c r="K7" s="62">
        <f t="shared" si="1"/>
        <v>1157961195.6317</v>
      </c>
      <c r="L7" s="62">
        <f t="shared" si="2"/>
        <v>917961195.63170004</v>
      </c>
      <c r="M7" s="63">
        <v>917961195.0828805</v>
      </c>
      <c r="N7" s="63">
        <f t="shared" si="3"/>
        <v>0.54881954193115234</v>
      </c>
      <c r="O7" s="63"/>
      <c r="P7" s="70">
        <f t="shared" si="4"/>
        <v>0.7927391687170714</v>
      </c>
    </row>
    <row r="8" spans="1:16" x14ac:dyDescent="0.25">
      <c r="A8" s="69" t="s">
        <v>112</v>
      </c>
      <c r="B8" s="60" t="s">
        <v>115</v>
      </c>
      <c r="C8" s="61">
        <v>0</v>
      </c>
      <c r="D8" s="61">
        <v>239198775.0309788</v>
      </c>
      <c r="E8" s="61">
        <v>0</v>
      </c>
      <c r="F8" s="61">
        <v>649105200.38142025</v>
      </c>
      <c r="G8" s="62">
        <v>0</v>
      </c>
      <c r="H8" s="62">
        <f t="shared" si="0"/>
        <v>519284160.3051362</v>
      </c>
      <c r="I8" s="62">
        <v>339228053</v>
      </c>
      <c r="J8" s="62">
        <v>339228053</v>
      </c>
      <c r="K8" s="62">
        <f t="shared" si="1"/>
        <v>758482935.336115</v>
      </c>
      <c r="L8" s="62">
        <f t="shared" si="2"/>
        <v>419254882.336115</v>
      </c>
      <c r="M8" s="63">
        <v>419254881.23097897</v>
      </c>
      <c r="N8" s="63">
        <f t="shared" si="3"/>
        <v>1.1051360368728638</v>
      </c>
      <c r="O8" s="63"/>
      <c r="P8" s="70">
        <f t="shared" si="4"/>
        <v>0.55275453514366268</v>
      </c>
    </row>
    <row r="9" spans="1:16" ht="30" x14ac:dyDescent="0.25">
      <c r="A9" s="69" t="s">
        <v>101</v>
      </c>
      <c r="B9" s="60" t="s">
        <v>147</v>
      </c>
      <c r="C9" s="61">
        <v>0</v>
      </c>
      <c r="D9" s="61">
        <v>345656447.34867781</v>
      </c>
      <c r="E9" s="61">
        <v>0</v>
      </c>
      <c r="F9" s="61">
        <v>960141098.93641782</v>
      </c>
      <c r="G9" s="62">
        <v>0</v>
      </c>
      <c r="H9" s="62">
        <f t="shared" si="0"/>
        <v>768112879.14913428</v>
      </c>
      <c r="I9" s="62">
        <v>74000000</v>
      </c>
      <c r="J9" s="62">
        <v>74000000</v>
      </c>
      <c r="K9" s="62">
        <f t="shared" si="1"/>
        <v>1113769326.497812</v>
      </c>
      <c r="L9" s="62">
        <f t="shared" si="2"/>
        <v>1039769326.497812</v>
      </c>
      <c r="M9" s="63">
        <v>1113769325.748678</v>
      </c>
      <c r="N9" s="63">
        <f t="shared" si="3"/>
        <v>-73999999.250865936</v>
      </c>
      <c r="O9" s="63" t="s">
        <v>231</v>
      </c>
      <c r="P9" s="70">
        <f t="shared" si="4"/>
        <v>0.93355895315173654</v>
      </c>
    </row>
    <row r="10" spans="1:16" x14ac:dyDescent="0.25">
      <c r="A10" s="69" t="s">
        <v>82</v>
      </c>
      <c r="B10" s="60" t="s">
        <v>83</v>
      </c>
      <c r="C10" s="61">
        <v>0</v>
      </c>
      <c r="D10" s="61">
        <v>135943732.39664716</v>
      </c>
      <c r="E10" s="61">
        <v>0</v>
      </c>
      <c r="F10" s="61">
        <v>380772476.62853259</v>
      </c>
      <c r="G10" s="62">
        <v>274000000</v>
      </c>
      <c r="H10" s="62">
        <f t="shared" si="0"/>
        <v>304617981.30282611</v>
      </c>
      <c r="I10" s="62">
        <v>408000000</v>
      </c>
      <c r="J10" s="62">
        <v>434000000</v>
      </c>
      <c r="K10" s="62">
        <f t="shared" si="1"/>
        <v>440561713.69947326</v>
      </c>
      <c r="L10" s="62">
        <f t="shared" si="2"/>
        <v>6561713.6994732618</v>
      </c>
      <c r="M10" s="63">
        <v>6561712.3966471553</v>
      </c>
      <c r="N10" s="63">
        <f t="shared" si="3"/>
        <v>1.3028261065483093</v>
      </c>
      <c r="O10" s="63"/>
      <c r="P10" s="71">
        <f t="shared" si="4"/>
        <v>1.4893971708012056E-2</v>
      </c>
    </row>
    <row r="11" spans="1:16" x14ac:dyDescent="0.25">
      <c r="A11" s="69" t="s">
        <v>82</v>
      </c>
      <c r="B11" s="60" t="s">
        <v>84</v>
      </c>
      <c r="C11" s="61">
        <v>0</v>
      </c>
      <c r="D11" s="61">
        <v>149385262.63217559</v>
      </c>
      <c r="E11" s="61">
        <v>0</v>
      </c>
      <c r="F11" s="61">
        <v>412164198.94004041</v>
      </c>
      <c r="G11" s="62">
        <v>0</v>
      </c>
      <c r="H11" s="62">
        <f t="shared" si="0"/>
        <v>329731359.15203238</v>
      </c>
      <c r="I11" s="62">
        <v>0</v>
      </c>
      <c r="J11" s="62">
        <v>270000000</v>
      </c>
      <c r="K11" s="62">
        <f t="shared" si="1"/>
        <v>479116621.78420794</v>
      </c>
      <c r="L11" s="62">
        <f t="shared" si="2"/>
        <v>209116621.78420794</v>
      </c>
      <c r="M11" s="63">
        <v>209116621.03217566</v>
      </c>
      <c r="N11" s="63">
        <f t="shared" si="3"/>
        <v>0.75203227996826172</v>
      </c>
      <c r="O11" s="63"/>
      <c r="P11" s="70">
        <f t="shared" si="4"/>
        <v>0.43646288247205328</v>
      </c>
    </row>
    <row r="12" spans="1:16" x14ac:dyDescent="0.25">
      <c r="A12" s="69" t="s">
        <v>56</v>
      </c>
      <c r="B12" s="60" t="s">
        <v>57</v>
      </c>
      <c r="C12" s="61">
        <v>0</v>
      </c>
      <c r="D12" s="61">
        <v>296362758.5264942</v>
      </c>
      <c r="E12" s="61">
        <v>0</v>
      </c>
      <c r="F12" s="61">
        <v>839271666.7293278</v>
      </c>
      <c r="G12" s="62">
        <v>0</v>
      </c>
      <c r="H12" s="62">
        <f t="shared" si="0"/>
        <v>671417333.38346231</v>
      </c>
      <c r="I12" s="62">
        <v>0</v>
      </c>
      <c r="J12" s="62">
        <v>125000000</v>
      </c>
      <c r="K12" s="62">
        <f t="shared" si="1"/>
        <v>967780091.90995646</v>
      </c>
      <c r="L12" s="62">
        <f t="shared" si="2"/>
        <v>842780091.90995646</v>
      </c>
      <c r="M12" s="63">
        <v>843234552.49798834</v>
      </c>
      <c r="N12" s="63">
        <f t="shared" si="3"/>
        <v>-454460.58803188801</v>
      </c>
      <c r="O12" s="63" t="s">
        <v>233</v>
      </c>
      <c r="P12" s="70">
        <f t="shared" si="4"/>
        <v>0.87083842595552152</v>
      </c>
    </row>
    <row r="13" spans="1:16" ht="90" x14ac:dyDescent="0.25">
      <c r="A13" s="69" t="s">
        <v>101</v>
      </c>
      <c r="B13" s="60" t="s">
        <v>103</v>
      </c>
      <c r="C13" s="61">
        <v>0</v>
      </c>
      <c r="D13" s="61">
        <v>139606606.18728572</v>
      </c>
      <c r="E13" s="61">
        <v>0</v>
      </c>
      <c r="F13" s="61">
        <v>376336419.47498959</v>
      </c>
      <c r="G13" s="62">
        <v>0</v>
      </c>
      <c r="H13" s="62">
        <f t="shared" si="0"/>
        <v>301069135.5799917</v>
      </c>
      <c r="I13" s="62">
        <v>139600000</v>
      </c>
      <c r="J13" s="62">
        <v>440146756</v>
      </c>
      <c r="K13" s="62">
        <f t="shared" si="1"/>
        <v>440675741.76727742</v>
      </c>
      <c r="L13" s="62">
        <f t="shared" si="2"/>
        <v>528985.76727741957</v>
      </c>
      <c r="M13" s="63">
        <v>301175740.58728576</v>
      </c>
      <c r="N13" s="63">
        <f t="shared" si="3"/>
        <v>-300646754.82000834</v>
      </c>
      <c r="O13" s="63" t="s">
        <v>232</v>
      </c>
      <c r="P13" s="71">
        <f t="shared" si="4"/>
        <v>1.200396838627843E-3</v>
      </c>
    </row>
    <row r="14" spans="1:16" x14ac:dyDescent="0.25">
      <c r="A14" s="69" t="s">
        <v>112</v>
      </c>
      <c r="B14" s="60" t="s">
        <v>116</v>
      </c>
      <c r="C14" s="61">
        <v>0</v>
      </c>
      <c r="D14" s="61">
        <v>286092861.39239055</v>
      </c>
      <c r="E14" s="61">
        <v>0</v>
      </c>
      <c r="F14" s="61">
        <v>790551725.02210128</v>
      </c>
      <c r="G14" s="62">
        <v>0</v>
      </c>
      <c r="H14" s="62">
        <f t="shared" si="0"/>
        <v>632441380.017681</v>
      </c>
      <c r="I14" s="62">
        <v>74803102</v>
      </c>
      <c r="J14" s="62">
        <v>335627893</v>
      </c>
      <c r="K14" s="62">
        <f t="shared" si="1"/>
        <v>918534241.41007161</v>
      </c>
      <c r="L14" s="62">
        <f t="shared" si="2"/>
        <v>582906348.41007161</v>
      </c>
      <c r="M14" s="63">
        <v>582906347.59239054</v>
      </c>
      <c r="N14" s="63">
        <f t="shared" si="3"/>
        <v>0.81768107414245605</v>
      </c>
      <c r="O14" s="63"/>
      <c r="P14" s="70">
        <f t="shared" si="4"/>
        <v>0.63460491958931575</v>
      </c>
    </row>
    <row r="15" spans="1:16" x14ac:dyDescent="0.25">
      <c r="A15" s="69" t="s">
        <v>90</v>
      </c>
      <c r="B15" s="60" t="s">
        <v>91</v>
      </c>
      <c r="C15" s="61">
        <v>0</v>
      </c>
      <c r="D15" s="61">
        <v>0</v>
      </c>
      <c r="E15" s="61">
        <v>0</v>
      </c>
      <c r="F15" s="61">
        <v>0</v>
      </c>
      <c r="G15" s="62">
        <v>0</v>
      </c>
      <c r="H15" s="62">
        <f t="shared" si="0"/>
        <v>0</v>
      </c>
      <c r="I15" s="62">
        <v>0</v>
      </c>
      <c r="J15" s="62">
        <v>0</v>
      </c>
      <c r="K15" s="62">
        <f t="shared" si="1"/>
        <v>0</v>
      </c>
      <c r="L15" s="62">
        <f t="shared" si="2"/>
        <v>0</v>
      </c>
      <c r="M15" s="63">
        <v>88003.377858294931</v>
      </c>
      <c r="N15" s="63">
        <f t="shared" si="3"/>
        <v>-88003.377858294931</v>
      </c>
      <c r="O15" s="63" t="s">
        <v>233</v>
      </c>
      <c r="P15" s="71" t="e">
        <f t="shared" si="4"/>
        <v>#DIV/0!</v>
      </c>
    </row>
    <row r="16" spans="1:16" x14ac:dyDescent="0.25">
      <c r="A16" s="69" t="s">
        <v>21</v>
      </c>
      <c r="B16" s="60" t="s">
        <v>22</v>
      </c>
      <c r="C16" s="61">
        <v>3394626.0917727277</v>
      </c>
      <c r="D16" s="61">
        <v>509319188.71308887</v>
      </c>
      <c r="E16" s="61">
        <v>3226367.9436036847</v>
      </c>
      <c r="F16" s="61">
        <v>1384507936.035511</v>
      </c>
      <c r="G16" s="62">
        <v>0</v>
      </c>
      <c r="H16" s="62">
        <f t="shared" si="0"/>
        <v>1110187443.1832919</v>
      </c>
      <c r="I16" s="62">
        <v>0</v>
      </c>
      <c r="J16" s="62">
        <v>573365686</v>
      </c>
      <c r="K16" s="62">
        <f t="shared" si="1"/>
        <v>1622901257.9881537</v>
      </c>
      <c r="L16" s="62">
        <f t="shared" si="2"/>
        <v>1049535571.9881537</v>
      </c>
      <c r="M16" s="63">
        <v>1049535570.403089</v>
      </c>
      <c r="N16" s="63">
        <f t="shared" si="3"/>
        <v>1.5850646495819092</v>
      </c>
      <c r="O16" s="63"/>
      <c r="P16" s="70">
        <f t="shared" si="4"/>
        <v>0.64670328328491244</v>
      </c>
    </row>
    <row r="17" spans="1:16" x14ac:dyDescent="0.25">
      <c r="A17" s="69" t="s">
        <v>71</v>
      </c>
      <c r="B17" s="60" t="s">
        <v>148</v>
      </c>
      <c r="C17" s="61">
        <v>0</v>
      </c>
      <c r="D17" s="61">
        <v>452192340.9123925</v>
      </c>
      <c r="E17" s="61">
        <v>0</v>
      </c>
      <c r="F17" s="61">
        <v>1256592706.4755778</v>
      </c>
      <c r="G17" s="62">
        <v>0</v>
      </c>
      <c r="H17" s="62">
        <f t="shared" si="0"/>
        <v>1005274165.1804624</v>
      </c>
      <c r="I17" s="62">
        <v>452000000</v>
      </c>
      <c r="J17" s="62">
        <v>801198446</v>
      </c>
      <c r="K17" s="62">
        <f t="shared" si="1"/>
        <v>1457466506.092855</v>
      </c>
      <c r="L17" s="62">
        <f t="shared" si="2"/>
        <v>656268060.09285498</v>
      </c>
      <c r="M17" s="63">
        <v>656268065.71239257</v>
      </c>
      <c r="N17" s="63">
        <f t="shared" si="3"/>
        <v>-5.6195375919342041</v>
      </c>
      <c r="O17" s="63"/>
      <c r="P17" s="70">
        <f t="shared" si="4"/>
        <v>0.45028002863143962</v>
      </c>
    </row>
    <row r="18" spans="1:16" x14ac:dyDescent="0.25">
      <c r="A18" s="69" t="s">
        <v>123</v>
      </c>
      <c r="B18" s="60" t="s">
        <v>124</v>
      </c>
      <c r="C18" s="61">
        <v>0</v>
      </c>
      <c r="D18" s="61">
        <v>272018573.67851621</v>
      </c>
      <c r="E18" s="61">
        <v>0</v>
      </c>
      <c r="F18" s="61">
        <v>747388886.41918325</v>
      </c>
      <c r="G18" s="62">
        <v>40000000</v>
      </c>
      <c r="H18" s="62">
        <f t="shared" si="0"/>
        <v>597911109.13534665</v>
      </c>
      <c r="I18" s="62">
        <f>210000000+62018574+400180000+89880000</f>
        <v>762078574</v>
      </c>
      <c r="J18" s="62">
        <v>842060000</v>
      </c>
      <c r="K18" s="62">
        <f t="shared" si="1"/>
        <v>869929682.8138628</v>
      </c>
      <c r="L18" s="62">
        <f t="shared" si="2"/>
        <v>27869682.813862801</v>
      </c>
      <c r="M18" s="63">
        <v>27851108.800000429</v>
      </c>
      <c r="N18" s="63">
        <f t="shared" si="3"/>
        <v>18574.013862371445</v>
      </c>
      <c r="O18" s="63"/>
      <c r="P18" s="71">
        <f t="shared" si="4"/>
        <v>3.2036707522975764E-2</v>
      </c>
    </row>
    <row r="19" spans="1:16" x14ac:dyDescent="0.25">
      <c r="A19" s="69" t="s">
        <v>82</v>
      </c>
      <c r="B19" s="60" t="s">
        <v>85</v>
      </c>
      <c r="C19" s="61">
        <v>0</v>
      </c>
      <c r="D19" s="61">
        <v>122431319.76819202</v>
      </c>
      <c r="E19" s="61">
        <v>0</v>
      </c>
      <c r="F19" s="61">
        <v>331605240.70275646</v>
      </c>
      <c r="G19" s="62">
        <v>0</v>
      </c>
      <c r="H19" s="62">
        <f t="shared" si="0"/>
        <v>265284192.5622052</v>
      </c>
      <c r="I19" s="62">
        <v>0</v>
      </c>
      <c r="J19" s="62">
        <v>195000000</v>
      </c>
      <c r="K19" s="62">
        <f t="shared" si="1"/>
        <v>387715512.33039725</v>
      </c>
      <c r="L19" s="62">
        <f t="shared" si="2"/>
        <v>192715512.33039725</v>
      </c>
      <c r="M19" s="63">
        <v>192715510.96819204</v>
      </c>
      <c r="N19" s="63">
        <f t="shared" si="3"/>
        <v>1.3622052073478699</v>
      </c>
      <c r="O19" s="63"/>
      <c r="P19" s="70">
        <f t="shared" si="4"/>
        <v>0.49705391247325692</v>
      </c>
    </row>
    <row r="20" spans="1:16" x14ac:dyDescent="0.25">
      <c r="A20" s="69" t="s">
        <v>90</v>
      </c>
      <c r="B20" s="60" t="s">
        <v>92</v>
      </c>
      <c r="C20" s="61">
        <v>0</v>
      </c>
      <c r="D20" s="61">
        <v>0</v>
      </c>
      <c r="E20" s="61">
        <v>0</v>
      </c>
      <c r="F20" s="61">
        <v>0</v>
      </c>
      <c r="G20" s="62">
        <v>0</v>
      </c>
      <c r="H20" s="62">
        <f t="shared" si="0"/>
        <v>0</v>
      </c>
      <c r="I20" s="62">
        <v>0</v>
      </c>
      <c r="J20" s="62">
        <v>0</v>
      </c>
      <c r="K20" s="62">
        <f t="shared" si="1"/>
        <v>0</v>
      </c>
      <c r="L20" s="62">
        <f t="shared" si="2"/>
        <v>0</v>
      </c>
      <c r="M20" s="63">
        <v>262163.85126487212</v>
      </c>
      <c r="N20" s="63">
        <f t="shared" si="3"/>
        <v>-262163.85126487212</v>
      </c>
      <c r="O20" s="63" t="s">
        <v>233</v>
      </c>
      <c r="P20" s="71" t="e">
        <f t="shared" si="4"/>
        <v>#DIV/0!</v>
      </c>
    </row>
    <row r="21" spans="1:16" x14ac:dyDescent="0.25">
      <c r="A21" s="69" t="s">
        <v>71</v>
      </c>
      <c r="B21" s="60" t="s">
        <v>73</v>
      </c>
      <c r="C21" s="61">
        <v>0</v>
      </c>
      <c r="D21" s="61">
        <v>298017079.19385135</v>
      </c>
      <c r="E21" s="61">
        <v>0</v>
      </c>
      <c r="F21" s="61">
        <v>824985554.18174708</v>
      </c>
      <c r="G21" s="62">
        <v>0</v>
      </c>
      <c r="H21" s="62">
        <f t="shared" si="0"/>
        <v>659988443.34539771</v>
      </c>
      <c r="I21" s="62">
        <v>298017079</v>
      </c>
      <c r="J21" s="62">
        <v>298017079</v>
      </c>
      <c r="K21" s="62">
        <f t="shared" si="1"/>
        <v>958005522.53924906</v>
      </c>
      <c r="L21" s="62">
        <f t="shared" si="2"/>
        <v>659988443.53924906</v>
      </c>
      <c r="M21" s="63">
        <v>659988442.4000001</v>
      </c>
      <c r="N21" s="63">
        <f t="shared" si="3"/>
        <v>1.1392489671707153</v>
      </c>
      <c r="O21" s="63"/>
      <c r="P21" s="70">
        <f t="shared" si="4"/>
        <v>0.68891924734411913</v>
      </c>
    </row>
    <row r="22" spans="1:16" x14ac:dyDescent="0.25">
      <c r="A22" s="69" t="s">
        <v>71</v>
      </c>
      <c r="B22" s="60" t="s">
        <v>74</v>
      </c>
      <c r="C22" s="61">
        <v>4280.513780246175</v>
      </c>
      <c r="D22" s="61">
        <v>318787879.84952527</v>
      </c>
      <c r="E22" s="61">
        <v>0</v>
      </c>
      <c r="F22" s="61">
        <v>878130087.61471105</v>
      </c>
      <c r="G22" s="62">
        <v>0</v>
      </c>
      <c r="H22" s="62">
        <f t="shared" si="0"/>
        <v>702504070.09176886</v>
      </c>
      <c r="I22" s="62">
        <v>150000000</v>
      </c>
      <c r="J22" s="62">
        <v>473881537</v>
      </c>
      <c r="K22" s="62">
        <f t="shared" si="1"/>
        <v>1021296230.4550744</v>
      </c>
      <c r="L22" s="62">
        <f t="shared" si="2"/>
        <v>547414693.45507443</v>
      </c>
      <c r="M22" s="63">
        <v>547414692.95952535</v>
      </c>
      <c r="N22" s="63">
        <f t="shared" si="3"/>
        <v>0.49554908275604248</v>
      </c>
      <c r="O22" s="63"/>
      <c r="P22" s="70">
        <f t="shared" si="4"/>
        <v>0.53599991572587569</v>
      </c>
    </row>
    <row r="23" spans="1:16" x14ac:dyDescent="0.25">
      <c r="A23" s="69" t="s">
        <v>0</v>
      </c>
      <c r="B23" s="60" t="s">
        <v>149</v>
      </c>
      <c r="C23" s="61">
        <v>0</v>
      </c>
      <c r="D23" s="61">
        <v>716402321.22422945</v>
      </c>
      <c r="E23" s="61">
        <v>0</v>
      </c>
      <c r="F23" s="61">
        <v>2021075398.2604146</v>
      </c>
      <c r="G23" s="62">
        <v>0</v>
      </c>
      <c r="H23" s="62">
        <f t="shared" si="0"/>
        <v>1616860318.6083317</v>
      </c>
      <c r="I23" s="62">
        <v>1467235359</v>
      </c>
      <c r="J23" s="62">
        <v>1617235359</v>
      </c>
      <c r="K23" s="62">
        <f t="shared" si="1"/>
        <v>2333262639.832561</v>
      </c>
      <c r="L23" s="62">
        <f t="shared" si="2"/>
        <v>716027280.83256102</v>
      </c>
      <c r="M23" s="63">
        <v>716137085.89517331</v>
      </c>
      <c r="N23" s="63">
        <f t="shared" si="3"/>
        <v>-109805.06261229515</v>
      </c>
      <c r="O23" s="63" t="s">
        <v>233</v>
      </c>
      <c r="P23" s="71">
        <f t="shared" si="4"/>
        <v>0.30687813219515842</v>
      </c>
    </row>
    <row r="24" spans="1:16" ht="60" x14ac:dyDescent="0.25">
      <c r="A24" s="69" t="s">
        <v>90</v>
      </c>
      <c r="B24" s="60" t="s">
        <v>93</v>
      </c>
      <c r="C24" s="61">
        <v>58014873.180710696</v>
      </c>
      <c r="D24" s="61">
        <v>370832072.30516678</v>
      </c>
      <c r="E24" s="61">
        <v>48152784.867322236</v>
      </c>
      <c r="F24" s="61">
        <v>1045014000.6255555</v>
      </c>
      <c r="G24" s="62">
        <v>0</v>
      </c>
      <c r="H24" s="62">
        <f t="shared" si="0"/>
        <v>874533428.39430225</v>
      </c>
      <c r="I24" s="62">
        <v>139964006</v>
      </c>
      <c r="J24" s="62">
        <v>139964006</v>
      </c>
      <c r="K24" s="62">
        <f t="shared" si="1"/>
        <v>1303380373.8801799</v>
      </c>
      <c r="L24" s="62">
        <f t="shared" si="2"/>
        <v>1163416367.8801799</v>
      </c>
      <c r="M24" s="63">
        <v>1144572868.6151667</v>
      </c>
      <c r="N24" s="63">
        <f t="shared" si="3"/>
        <v>18843499.265013218</v>
      </c>
      <c r="O24" s="63" t="s">
        <v>234</v>
      </c>
      <c r="P24" s="70">
        <f t="shared" si="4"/>
        <v>0.89261461289053678</v>
      </c>
    </row>
    <row r="25" spans="1:16" x14ac:dyDescent="0.25">
      <c r="A25" s="69" t="s">
        <v>90</v>
      </c>
      <c r="B25" s="60" t="s">
        <v>94</v>
      </c>
      <c r="C25" s="61">
        <v>0</v>
      </c>
      <c r="D25" s="61">
        <v>0</v>
      </c>
      <c r="E25" s="61">
        <v>0</v>
      </c>
      <c r="F25" s="61">
        <v>0</v>
      </c>
      <c r="G25" s="62">
        <v>0</v>
      </c>
      <c r="H25" s="62">
        <f t="shared" si="0"/>
        <v>0</v>
      </c>
      <c r="I25" s="62">
        <v>0</v>
      </c>
      <c r="J25" s="62">
        <v>0</v>
      </c>
      <c r="K25" s="62">
        <f t="shared" si="1"/>
        <v>0</v>
      </c>
      <c r="L25" s="62">
        <f t="shared" si="2"/>
        <v>0</v>
      </c>
      <c r="M25" s="63">
        <v>0</v>
      </c>
      <c r="N25" s="63">
        <f t="shared" si="3"/>
        <v>0</v>
      </c>
      <c r="O25" s="63"/>
      <c r="P25" s="71" t="e">
        <f t="shared" si="4"/>
        <v>#DIV/0!</v>
      </c>
    </row>
    <row r="26" spans="1:16" x14ac:dyDescent="0.25">
      <c r="A26" s="69" t="s">
        <v>123</v>
      </c>
      <c r="B26" s="60" t="s">
        <v>125</v>
      </c>
      <c r="C26" s="61">
        <v>355749253.3894251</v>
      </c>
      <c r="D26" s="61">
        <v>225054421.50937223</v>
      </c>
      <c r="E26" s="61">
        <v>420564098.28380823</v>
      </c>
      <c r="F26" s="61">
        <v>616156240.22553861</v>
      </c>
      <c r="G26" s="62">
        <v>0</v>
      </c>
      <c r="H26" s="62">
        <f t="shared" si="0"/>
        <v>829376270.80747747</v>
      </c>
      <c r="I26" s="62">
        <v>540736628</v>
      </c>
      <c r="J26" s="62">
        <v>540736628</v>
      </c>
      <c r="K26" s="62">
        <f t="shared" si="1"/>
        <v>1410179945.7062747</v>
      </c>
      <c r="L26" s="62">
        <f t="shared" si="2"/>
        <v>869443317.70627475</v>
      </c>
      <c r="M26" s="63">
        <v>872909144.14088583</v>
      </c>
      <c r="N26" s="63">
        <f t="shared" si="3"/>
        <v>-3465826.4346110821</v>
      </c>
      <c r="O26" s="63" t="s">
        <v>233</v>
      </c>
      <c r="P26" s="70">
        <f t="shared" si="4"/>
        <v>0.61654778197176996</v>
      </c>
    </row>
    <row r="27" spans="1:16" x14ac:dyDescent="0.25">
      <c r="A27" s="69" t="s">
        <v>112</v>
      </c>
      <c r="B27" s="60" t="s">
        <v>117</v>
      </c>
      <c r="C27" s="61">
        <v>0</v>
      </c>
      <c r="D27" s="61">
        <v>454362347.74692506</v>
      </c>
      <c r="E27" s="61">
        <v>0</v>
      </c>
      <c r="F27" s="61">
        <v>1264612418.7266858</v>
      </c>
      <c r="G27" s="62">
        <v>0</v>
      </c>
      <c r="H27" s="62">
        <f t="shared" si="0"/>
        <v>1011689934.9813486</v>
      </c>
      <c r="I27" s="62">
        <v>441154400</v>
      </c>
      <c r="J27" s="62">
        <v>739123064</v>
      </c>
      <c r="K27" s="62">
        <f t="shared" si="1"/>
        <v>1466052282.7282736</v>
      </c>
      <c r="L27" s="62">
        <f t="shared" si="2"/>
        <v>726929218.72827363</v>
      </c>
      <c r="M27" s="63">
        <v>726929218.14692521</v>
      </c>
      <c r="N27" s="63">
        <f t="shared" si="3"/>
        <v>0.58134841918945313</v>
      </c>
      <c r="O27" s="63"/>
      <c r="P27" s="70">
        <f t="shared" si="4"/>
        <v>0.49584126520746108</v>
      </c>
    </row>
    <row r="28" spans="1:16" x14ac:dyDescent="0.25">
      <c r="A28" s="69" t="s">
        <v>38</v>
      </c>
      <c r="B28" s="60" t="s">
        <v>39</v>
      </c>
      <c r="C28" s="61">
        <v>0</v>
      </c>
      <c r="D28" s="61">
        <v>148362634.55780408</v>
      </c>
      <c r="E28" s="61">
        <v>0</v>
      </c>
      <c r="F28" s="61">
        <v>401017078.15440261</v>
      </c>
      <c r="G28" s="62">
        <v>0</v>
      </c>
      <c r="H28" s="62">
        <f t="shared" si="0"/>
        <v>320813662.52352208</v>
      </c>
      <c r="I28" s="62">
        <v>0</v>
      </c>
      <c r="J28" s="62">
        <v>18000000</v>
      </c>
      <c r="K28" s="62">
        <f t="shared" si="1"/>
        <v>469176297.08132613</v>
      </c>
      <c r="L28" s="62">
        <f t="shared" si="2"/>
        <v>451176297.08132613</v>
      </c>
      <c r="M28" s="63">
        <v>451176296.95780408</v>
      </c>
      <c r="N28" s="63">
        <f t="shared" si="3"/>
        <v>0.12352204322814941</v>
      </c>
      <c r="O28" s="63"/>
      <c r="P28" s="70">
        <f t="shared" si="4"/>
        <v>0.96163489052627926</v>
      </c>
    </row>
    <row r="29" spans="1:16" x14ac:dyDescent="0.25">
      <c r="A29" s="69" t="s">
        <v>56</v>
      </c>
      <c r="B29" s="60" t="s">
        <v>58</v>
      </c>
      <c r="C29" s="61">
        <v>0</v>
      </c>
      <c r="D29" s="61">
        <v>405808648.93562204</v>
      </c>
      <c r="E29" s="61">
        <v>0</v>
      </c>
      <c r="F29" s="61">
        <v>1146966981.5555162</v>
      </c>
      <c r="G29" s="62">
        <v>0</v>
      </c>
      <c r="H29" s="62">
        <f t="shared" si="0"/>
        <v>917573585.24441302</v>
      </c>
      <c r="I29" s="62">
        <v>0</v>
      </c>
      <c r="J29" s="62">
        <v>0</v>
      </c>
      <c r="K29" s="62">
        <f t="shared" si="1"/>
        <v>1323382234.1800351</v>
      </c>
      <c r="L29" s="62">
        <f t="shared" si="2"/>
        <v>1323382234.1800351</v>
      </c>
      <c r="M29" s="63">
        <v>1324510545.3978977</v>
      </c>
      <c r="N29" s="63">
        <f t="shared" si="3"/>
        <v>-1128311.217862606</v>
      </c>
      <c r="O29" s="63" t="s">
        <v>233</v>
      </c>
      <c r="P29" s="70">
        <f t="shared" si="4"/>
        <v>1</v>
      </c>
    </row>
    <row r="30" spans="1:16" x14ac:dyDescent="0.25">
      <c r="A30" s="69" t="s">
        <v>56</v>
      </c>
      <c r="B30" s="60" t="s">
        <v>59</v>
      </c>
      <c r="C30" s="61">
        <v>0</v>
      </c>
      <c r="D30" s="61">
        <v>0</v>
      </c>
      <c r="E30" s="61">
        <v>0</v>
      </c>
      <c r="F30" s="61">
        <v>0</v>
      </c>
      <c r="G30" s="62">
        <v>0</v>
      </c>
      <c r="H30" s="62">
        <f t="shared" si="0"/>
        <v>0</v>
      </c>
      <c r="I30" s="62">
        <v>0</v>
      </c>
      <c r="J30" s="62">
        <v>0</v>
      </c>
      <c r="K30" s="62">
        <f t="shared" si="1"/>
        <v>0</v>
      </c>
      <c r="L30" s="62">
        <f t="shared" si="2"/>
        <v>0</v>
      </c>
      <c r="M30" s="63">
        <v>0</v>
      </c>
      <c r="N30" s="63">
        <f t="shared" si="3"/>
        <v>0</v>
      </c>
      <c r="O30" s="63"/>
      <c r="P30" s="71" t="e">
        <f t="shared" si="4"/>
        <v>#DIV/0!</v>
      </c>
    </row>
    <row r="31" spans="1:16" x14ac:dyDescent="0.25">
      <c r="A31" s="69" t="s">
        <v>71</v>
      </c>
      <c r="B31" s="60" t="s">
        <v>150</v>
      </c>
      <c r="C31" s="61">
        <v>0</v>
      </c>
      <c r="D31" s="61">
        <v>372570034.43995368</v>
      </c>
      <c r="E31" s="61">
        <v>0</v>
      </c>
      <c r="F31" s="61">
        <v>1032555089.7050034</v>
      </c>
      <c r="G31" s="62">
        <v>0</v>
      </c>
      <c r="H31" s="62">
        <f t="shared" si="0"/>
        <v>826044071.7640028</v>
      </c>
      <c r="I31" s="62">
        <v>320000000</v>
      </c>
      <c r="J31" s="62">
        <v>782000000</v>
      </c>
      <c r="K31" s="62">
        <f t="shared" si="1"/>
        <v>1198614106.2039566</v>
      </c>
      <c r="L31" s="62">
        <f t="shared" si="2"/>
        <v>416614106.2039566</v>
      </c>
      <c r="M31" s="63">
        <v>416614105.63995361</v>
      </c>
      <c r="N31" s="63">
        <f t="shared" si="3"/>
        <v>0.56400299072265625</v>
      </c>
      <c r="O31" s="63"/>
      <c r="P31" s="71">
        <f t="shared" si="4"/>
        <v>0.34757984579656315</v>
      </c>
    </row>
    <row r="32" spans="1:16" ht="45" x14ac:dyDescent="0.25">
      <c r="A32" s="69" t="s">
        <v>71</v>
      </c>
      <c r="B32" s="60" t="s">
        <v>76</v>
      </c>
      <c r="C32" s="61">
        <v>0</v>
      </c>
      <c r="D32" s="61">
        <v>221258101.51656008</v>
      </c>
      <c r="E32" s="61">
        <v>0</v>
      </c>
      <c r="F32" s="61">
        <v>612757258.90475333</v>
      </c>
      <c r="G32" s="62">
        <v>0</v>
      </c>
      <c r="H32" s="62">
        <f t="shared" si="0"/>
        <v>490205807.12380266</v>
      </c>
      <c r="I32" s="62">
        <v>221000000</v>
      </c>
      <c r="J32" s="62">
        <v>1021000000</v>
      </c>
      <c r="K32" s="62">
        <f t="shared" si="1"/>
        <v>711463908.64036274</v>
      </c>
      <c r="L32" s="62">
        <f t="shared" si="2"/>
        <v>-309536091.35963726</v>
      </c>
      <c r="M32" s="63">
        <v>-110536092.08343983</v>
      </c>
      <c r="N32" s="63">
        <f t="shared" si="3"/>
        <v>-198999999.27619743</v>
      </c>
      <c r="O32" s="63" t="s">
        <v>235</v>
      </c>
      <c r="P32" s="71">
        <f t="shared" si="4"/>
        <v>-0.43506928123897903</v>
      </c>
    </row>
    <row r="33" spans="1:16" x14ac:dyDescent="0.25">
      <c r="A33" s="69" t="s">
        <v>56</v>
      </c>
      <c r="B33" s="60" t="s">
        <v>60</v>
      </c>
      <c r="C33" s="61">
        <v>0</v>
      </c>
      <c r="D33" s="61">
        <v>0</v>
      </c>
      <c r="E33" s="61">
        <v>0</v>
      </c>
      <c r="F33" s="61">
        <v>0</v>
      </c>
      <c r="G33" s="62">
        <v>0</v>
      </c>
      <c r="H33" s="62">
        <f t="shared" si="0"/>
        <v>0</v>
      </c>
      <c r="I33" s="62">
        <v>0</v>
      </c>
      <c r="J33" s="62">
        <v>0</v>
      </c>
      <c r="K33" s="62">
        <f t="shared" si="1"/>
        <v>0</v>
      </c>
      <c r="L33" s="62">
        <f t="shared" si="2"/>
        <v>0</v>
      </c>
      <c r="M33" s="63">
        <v>0</v>
      </c>
      <c r="N33" s="63">
        <f t="shared" si="3"/>
        <v>0</v>
      </c>
      <c r="O33" s="63"/>
      <c r="P33" s="71" t="e">
        <f t="shared" si="4"/>
        <v>#DIV/0!</v>
      </c>
    </row>
    <row r="34" spans="1:16" x14ac:dyDescent="0.25">
      <c r="A34" s="69" t="s">
        <v>123</v>
      </c>
      <c r="B34" s="60" t="s">
        <v>126</v>
      </c>
      <c r="C34" s="61">
        <v>0</v>
      </c>
      <c r="D34" s="61">
        <v>207846273.80777219</v>
      </c>
      <c r="E34" s="61">
        <v>0</v>
      </c>
      <c r="F34" s="61">
        <v>579833428.2951113</v>
      </c>
      <c r="G34" s="62">
        <v>0</v>
      </c>
      <c r="H34" s="62">
        <f t="shared" si="0"/>
        <v>463866742.63608909</v>
      </c>
      <c r="I34" s="62">
        <v>0</v>
      </c>
      <c r="J34" s="62">
        <v>664535112</v>
      </c>
      <c r="K34" s="62">
        <f t="shared" si="1"/>
        <v>671713016.44386125</v>
      </c>
      <c r="L34" s="62">
        <f t="shared" si="2"/>
        <v>7177904.4438612461</v>
      </c>
      <c r="M34" s="63">
        <v>7177903.0277721882</v>
      </c>
      <c r="N34" s="63">
        <f t="shared" si="3"/>
        <v>1.4160890579223633</v>
      </c>
      <c r="O34" s="63"/>
      <c r="P34" s="71">
        <f t="shared" si="4"/>
        <v>1.0685968960169977E-2</v>
      </c>
    </row>
    <row r="35" spans="1:16" x14ac:dyDescent="0.25">
      <c r="A35" s="69" t="s">
        <v>101</v>
      </c>
      <c r="B35" s="60" t="s">
        <v>104</v>
      </c>
      <c r="C35" s="61">
        <v>0</v>
      </c>
      <c r="D35" s="61">
        <v>0</v>
      </c>
      <c r="E35" s="61">
        <v>0</v>
      </c>
      <c r="F35" s="61">
        <v>0</v>
      </c>
      <c r="G35" s="62">
        <v>0</v>
      </c>
      <c r="H35" s="62">
        <f t="shared" si="0"/>
        <v>0</v>
      </c>
      <c r="I35" s="62">
        <v>0</v>
      </c>
      <c r="J35" s="62">
        <v>0</v>
      </c>
      <c r="K35" s="62">
        <f t="shared" si="1"/>
        <v>0</v>
      </c>
      <c r="L35" s="62">
        <f t="shared" si="2"/>
        <v>0</v>
      </c>
      <c r="M35" s="63">
        <v>812.32334796385067</v>
      </c>
      <c r="N35" s="63">
        <f t="shared" si="3"/>
        <v>-812.32334796385067</v>
      </c>
      <c r="O35" s="63" t="s">
        <v>233</v>
      </c>
      <c r="P35" s="71" t="e">
        <f t="shared" si="4"/>
        <v>#DIV/0!</v>
      </c>
    </row>
    <row r="36" spans="1:16" ht="45" x14ac:dyDescent="0.25">
      <c r="A36" s="69" t="s">
        <v>47</v>
      </c>
      <c r="B36" s="60" t="s">
        <v>151</v>
      </c>
      <c r="C36" s="61">
        <v>94261500.093251601</v>
      </c>
      <c r="D36" s="61">
        <v>247918077.43792874</v>
      </c>
      <c r="E36" s="61">
        <v>46705674.056917459</v>
      </c>
      <c r="F36" s="61">
        <v>684416905.21069467</v>
      </c>
      <c r="G36" s="62">
        <v>0</v>
      </c>
      <c r="H36" s="62">
        <f t="shared" ref="H36:H67" si="5">(E36+F36)*80%</f>
        <v>584898063.41408968</v>
      </c>
      <c r="I36" s="62">
        <v>246999525</v>
      </c>
      <c r="J36" s="62">
        <v>1174077164</v>
      </c>
      <c r="K36" s="62">
        <f t="shared" si="1"/>
        <v>927077640.94526994</v>
      </c>
      <c r="L36" s="62">
        <f t="shared" si="2"/>
        <v>-246999523.05473006</v>
      </c>
      <c r="M36" s="63">
        <v>1.1279287338256836</v>
      </c>
      <c r="N36" s="63">
        <f t="shared" si="3"/>
        <v>-246999524.18265879</v>
      </c>
      <c r="O36" s="63" t="s">
        <v>236</v>
      </c>
      <c r="P36" s="71">
        <f t="shared" si="4"/>
        <v>-0.26642808773047705</v>
      </c>
    </row>
    <row r="37" spans="1:16" x14ac:dyDescent="0.25">
      <c r="A37" s="69" t="s">
        <v>90</v>
      </c>
      <c r="B37" s="60" t="s">
        <v>95</v>
      </c>
      <c r="C37" s="61">
        <v>0</v>
      </c>
      <c r="D37" s="61">
        <v>338888151.19699639</v>
      </c>
      <c r="E37" s="61">
        <v>0</v>
      </c>
      <c r="F37" s="61">
        <v>961816680.06572676</v>
      </c>
      <c r="G37" s="62">
        <v>0</v>
      </c>
      <c r="H37" s="62">
        <f t="shared" si="5"/>
        <v>769453344.05258143</v>
      </c>
      <c r="I37" s="62">
        <v>0</v>
      </c>
      <c r="J37" s="62">
        <v>0</v>
      </c>
      <c r="K37" s="62">
        <f t="shared" si="1"/>
        <v>1108341495.2495778</v>
      </c>
      <c r="L37" s="62">
        <f t="shared" si="2"/>
        <v>1108341495.2495778</v>
      </c>
      <c r="M37" s="63">
        <v>1108341494.3969965</v>
      </c>
      <c r="N37" s="63">
        <f t="shared" si="3"/>
        <v>0.85258126258850098</v>
      </c>
      <c r="O37" s="63"/>
      <c r="P37" s="70">
        <f t="shared" si="4"/>
        <v>1</v>
      </c>
    </row>
    <row r="38" spans="1:16" x14ac:dyDescent="0.25">
      <c r="A38" s="69" t="s">
        <v>47</v>
      </c>
      <c r="B38" s="60" t="s">
        <v>49</v>
      </c>
      <c r="C38" s="61">
        <v>0</v>
      </c>
      <c r="D38" s="61">
        <v>332943386.46638864</v>
      </c>
      <c r="E38" s="61">
        <v>0</v>
      </c>
      <c r="F38" s="61">
        <v>912081594.06719172</v>
      </c>
      <c r="G38" s="62">
        <v>212843940</v>
      </c>
      <c r="H38" s="62">
        <f t="shared" si="5"/>
        <v>729665275.25375342</v>
      </c>
      <c r="I38" s="62">
        <v>360281052</v>
      </c>
      <c r="J38" s="62">
        <v>1052132026</v>
      </c>
      <c r="K38" s="62">
        <f t="shared" si="1"/>
        <v>1062608661.7201421</v>
      </c>
      <c r="L38" s="62">
        <f t="shared" si="2"/>
        <v>10476635.720142126</v>
      </c>
      <c r="M38" s="63">
        <v>10500222.579468131</v>
      </c>
      <c r="N38" s="63">
        <f t="shared" si="3"/>
        <v>-23586.859326004982</v>
      </c>
      <c r="O38" s="63" t="s">
        <v>233</v>
      </c>
      <c r="P38" s="71">
        <f t="shared" si="4"/>
        <v>9.8593547159521872E-3</v>
      </c>
    </row>
    <row r="39" spans="1:16" x14ac:dyDescent="0.25">
      <c r="A39" s="69" t="s">
        <v>47</v>
      </c>
      <c r="B39" s="60" t="s">
        <v>50</v>
      </c>
      <c r="C39" s="61">
        <v>0</v>
      </c>
      <c r="D39" s="61">
        <v>181656298.26362002</v>
      </c>
      <c r="E39" s="61">
        <v>0</v>
      </c>
      <c r="F39" s="61">
        <v>504481369.31322747</v>
      </c>
      <c r="G39" s="62">
        <v>0</v>
      </c>
      <c r="H39" s="62">
        <f t="shared" si="5"/>
        <v>403585095.45058203</v>
      </c>
      <c r="I39" s="62">
        <v>0</v>
      </c>
      <c r="J39" s="62">
        <v>0</v>
      </c>
      <c r="K39" s="62">
        <f t="shared" si="1"/>
        <v>585241393.71420205</v>
      </c>
      <c r="L39" s="62">
        <f t="shared" si="2"/>
        <v>585241393.71420205</v>
      </c>
      <c r="M39" s="63">
        <v>585241392.66362</v>
      </c>
      <c r="N39" s="63">
        <f t="shared" si="3"/>
        <v>1.0505820512771606</v>
      </c>
      <c r="O39" s="63"/>
      <c r="P39" s="70">
        <f t="shared" si="4"/>
        <v>1</v>
      </c>
    </row>
    <row r="40" spans="1:16" x14ac:dyDescent="0.25">
      <c r="A40" s="69" t="s">
        <v>11</v>
      </c>
      <c r="B40" s="60" t="s">
        <v>13</v>
      </c>
      <c r="C40" s="61">
        <v>145887.4095375</v>
      </c>
      <c r="D40" s="61">
        <v>0</v>
      </c>
      <c r="E40" s="61">
        <v>0</v>
      </c>
      <c r="F40" s="61">
        <v>0</v>
      </c>
      <c r="G40" s="62">
        <v>0</v>
      </c>
      <c r="H40" s="62">
        <f t="shared" si="5"/>
        <v>0</v>
      </c>
      <c r="I40" s="62">
        <v>0</v>
      </c>
      <c r="J40" s="62">
        <v>0</v>
      </c>
      <c r="K40" s="62">
        <f t="shared" si="1"/>
        <v>145887.4095375</v>
      </c>
      <c r="L40" s="62">
        <f t="shared" si="2"/>
        <v>145887.4095375</v>
      </c>
      <c r="M40" s="63">
        <v>145887.41</v>
      </c>
      <c r="N40" s="63">
        <f t="shared" si="3"/>
        <v>-4.6250000013969839E-4</v>
      </c>
      <c r="O40" s="63"/>
      <c r="P40" s="70">
        <f t="shared" si="4"/>
        <v>1</v>
      </c>
    </row>
    <row r="41" spans="1:16" x14ac:dyDescent="0.25">
      <c r="A41" s="69" t="s">
        <v>101</v>
      </c>
      <c r="B41" s="60" t="s">
        <v>105</v>
      </c>
      <c r="C41" s="61">
        <v>0</v>
      </c>
      <c r="D41" s="61">
        <v>238233688.82137182</v>
      </c>
      <c r="E41" s="61">
        <v>0</v>
      </c>
      <c r="F41" s="61">
        <v>673785569.66973019</v>
      </c>
      <c r="G41" s="62">
        <v>0</v>
      </c>
      <c r="H41" s="62">
        <f t="shared" si="5"/>
        <v>539028455.73578417</v>
      </c>
      <c r="I41" s="62">
        <v>238225488</v>
      </c>
      <c r="J41" s="62">
        <v>238225488</v>
      </c>
      <c r="K41" s="62">
        <f t="shared" si="1"/>
        <v>777262144.55715597</v>
      </c>
      <c r="L41" s="62">
        <f t="shared" si="2"/>
        <v>539036656.55715597</v>
      </c>
      <c r="M41" s="63">
        <v>539036656.02137184</v>
      </c>
      <c r="N41" s="63">
        <f t="shared" si="3"/>
        <v>0.53578412532806396</v>
      </c>
      <c r="O41" s="63"/>
      <c r="P41" s="70">
        <f t="shared" si="4"/>
        <v>0.69350689510843389</v>
      </c>
    </row>
    <row r="42" spans="1:16" ht="60" x14ac:dyDescent="0.25">
      <c r="A42" s="69" t="s">
        <v>123</v>
      </c>
      <c r="B42" s="60" t="s">
        <v>127</v>
      </c>
      <c r="C42" s="61">
        <v>389828724.89081872</v>
      </c>
      <c r="D42" s="61">
        <v>369892065.22769815</v>
      </c>
      <c r="E42" s="61">
        <v>718028383.15071428</v>
      </c>
      <c r="F42" s="61">
        <v>1022846748.3744063</v>
      </c>
      <c r="G42" s="62">
        <v>279210</v>
      </c>
      <c r="H42" s="62">
        <f t="shared" si="5"/>
        <v>1392700105.2200966</v>
      </c>
      <c r="I42" s="62">
        <v>1129892065</v>
      </c>
      <c r="J42" s="62">
        <v>1300000000</v>
      </c>
      <c r="K42" s="62">
        <f t="shared" si="1"/>
        <v>2152420895.3386135</v>
      </c>
      <c r="L42" s="62">
        <f t="shared" si="2"/>
        <v>852420895.33861351</v>
      </c>
      <c r="M42" s="63">
        <v>1001986785.3800001</v>
      </c>
      <c r="N42" s="63">
        <f t="shared" si="3"/>
        <v>-149565890.0413866</v>
      </c>
      <c r="O42" s="63" t="s">
        <v>237</v>
      </c>
      <c r="P42" s="70">
        <f t="shared" si="4"/>
        <v>0.39602890735016433</v>
      </c>
    </row>
    <row r="43" spans="1:16" ht="45" x14ac:dyDescent="0.25">
      <c r="A43" s="69" t="s">
        <v>21</v>
      </c>
      <c r="B43" s="60" t="s">
        <v>23</v>
      </c>
      <c r="C43" s="61">
        <v>1236841011.6393452</v>
      </c>
      <c r="D43" s="61">
        <v>712900648.77325296</v>
      </c>
      <c r="E43" s="61">
        <v>812956915.78994548</v>
      </c>
      <c r="F43" s="61">
        <v>2006775270.2889977</v>
      </c>
      <c r="G43" s="62">
        <v>0</v>
      </c>
      <c r="H43" s="62">
        <f t="shared" si="5"/>
        <v>2255785748.8631549</v>
      </c>
      <c r="I43" s="62">
        <v>1781174182</v>
      </c>
      <c r="J43" s="62">
        <v>1781174182</v>
      </c>
      <c r="K43" s="62">
        <f t="shared" si="1"/>
        <v>4205527409.275753</v>
      </c>
      <c r="L43" s="62">
        <f t="shared" si="2"/>
        <v>2424353227.275753</v>
      </c>
      <c r="M43" s="63">
        <v>2344353226.4132528</v>
      </c>
      <c r="N43" s="63">
        <f t="shared" si="3"/>
        <v>80000000.862500191</v>
      </c>
      <c r="O43" s="63" t="s">
        <v>238</v>
      </c>
      <c r="P43" s="70">
        <f t="shared" si="4"/>
        <v>0.57646829787117204</v>
      </c>
    </row>
    <row r="44" spans="1:16" x14ac:dyDescent="0.25">
      <c r="A44" s="69" t="s">
        <v>47</v>
      </c>
      <c r="B44" s="60" t="s">
        <v>51</v>
      </c>
      <c r="C44" s="61">
        <v>0</v>
      </c>
      <c r="D44" s="61">
        <v>333045374.08765727</v>
      </c>
      <c r="E44" s="61">
        <v>0</v>
      </c>
      <c r="F44" s="61">
        <v>936172131.23795629</v>
      </c>
      <c r="G44" s="62">
        <v>7575992</v>
      </c>
      <c r="H44" s="62">
        <f t="shared" si="5"/>
        <v>748937704.99036503</v>
      </c>
      <c r="I44" s="62">
        <v>135130158</v>
      </c>
      <c r="J44" s="62">
        <v>434987801</v>
      </c>
      <c r="K44" s="62">
        <f t="shared" si="1"/>
        <v>1081983079.0780222</v>
      </c>
      <c r="L44" s="62">
        <f t="shared" si="2"/>
        <v>646995278.07802224</v>
      </c>
      <c r="M44" s="63">
        <v>649321332.51423144</v>
      </c>
      <c r="N44" s="63">
        <f t="shared" si="3"/>
        <v>-2326054.4362092018</v>
      </c>
      <c r="O44" s="63" t="s">
        <v>233</v>
      </c>
      <c r="P44" s="70">
        <f t="shared" si="4"/>
        <v>0.59797171562917495</v>
      </c>
    </row>
    <row r="45" spans="1:16" x14ac:dyDescent="0.25">
      <c r="A45" s="69" t="s">
        <v>11</v>
      </c>
      <c r="B45" s="60" t="s">
        <v>14</v>
      </c>
      <c r="C45" s="61">
        <v>0</v>
      </c>
      <c r="D45" s="61">
        <v>78957332.753730237</v>
      </c>
      <c r="E45" s="61">
        <v>0</v>
      </c>
      <c r="F45" s="61">
        <v>216349371.7743772</v>
      </c>
      <c r="G45" s="62">
        <v>0</v>
      </c>
      <c r="H45" s="62">
        <f t="shared" si="5"/>
        <v>173079497.41950178</v>
      </c>
      <c r="I45" s="62">
        <v>0</v>
      </c>
      <c r="J45" s="62">
        <v>0</v>
      </c>
      <c r="K45" s="62">
        <f t="shared" si="1"/>
        <v>252036830.17323202</v>
      </c>
      <c r="L45" s="62">
        <f t="shared" si="2"/>
        <v>252036830.17323202</v>
      </c>
      <c r="M45" s="63">
        <v>252036829.55373028</v>
      </c>
      <c r="N45" s="63">
        <f t="shared" si="3"/>
        <v>0.6195017397403717</v>
      </c>
      <c r="O45" s="63"/>
      <c r="P45" s="70">
        <f t="shared" si="4"/>
        <v>1</v>
      </c>
    </row>
    <row r="46" spans="1:16" ht="30" x14ac:dyDescent="0.25">
      <c r="A46" s="69" t="s">
        <v>47</v>
      </c>
      <c r="B46" s="60" t="s">
        <v>52</v>
      </c>
      <c r="C46" s="61">
        <v>2087757.6068373737</v>
      </c>
      <c r="D46" s="61">
        <v>235475387.74173886</v>
      </c>
      <c r="E46" s="61">
        <v>1708832.0657151705</v>
      </c>
      <c r="F46" s="61">
        <v>653600008.74468172</v>
      </c>
      <c r="G46" s="62">
        <v>0</v>
      </c>
      <c r="H46" s="62">
        <f t="shared" si="5"/>
        <v>524247072.64831758</v>
      </c>
      <c r="I46" s="62">
        <v>0</v>
      </c>
      <c r="J46" s="62">
        <v>237563146</v>
      </c>
      <c r="K46" s="62">
        <f t="shared" si="1"/>
        <v>761810217.99689376</v>
      </c>
      <c r="L46" s="62">
        <f t="shared" si="2"/>
        <v>524247071.99689376</v>
      </c>
      <c r="M46" s="63">
        <v>524016960.31173885</v>
      </c>
      <c r="N46" s="63">
        <f t="shared" si="3"/>
        <v>230111.68515491486</v>
      </c>
      <c r="O46" s="63" t="s">
        <v>239</v>
      </c>
      <c r="P46" s="70">
        <f t="shared" si="4"/>
        <v>0.68815967495861463</v>
      </c>
    </row>
    <row r="47" spans="1:16" x14ac:dyDescent="0.25">
      <c r="A47" s="69" t="s">
        <v>82</v>
      </c>
      <c r="B47" s="60" t="s">
        <v>86</v>
      </c>
      <c r="C47" s="61">
        <v>0</v>
      </c>
      <c r="D47" s="61">
        <v>173445293.05923864</v>
      </c>
      <c r="E47" s="61">
        <v>0</v>
      </c>
      <c r="F47" s="61">
        <v>480405974.99290234</v>
      </c>
      <c r="G47" s="62">
        <v>0</v>
      </c>
      <c r="H47" s="62">
        <f t="shared" si="5"/>
        <v>384324779.99432188</v>
      </c>
      <c r="I47" s="62">
        <v>0</v>
      </c>
      <c r="J47" s="62">
        <v>233000000</v>
      </c>
      <c r="K47" s="62">
        <f t="shared" si="1"/>
        <v>557770073.0535605</v>
      </c>
      <c r="L47" s="62">
        <f t="shared" si="2"/>
        <v>324770073.0535605</v>
      </c>
      <c r="M47" s="63">
        <v>324770071.45923865</v>
      </c>
      <c r="N47" s="63">
        <f t="shared" si="3"/>
        <v>1.5943218469619751</v>
      </c>
      <c r="O47" s="63"/>
      <c r="P47" s="70">
        <f t="shared" si="4"/>
        <v>0.58226514605844415</v>
      </c>
    </row>
    <row r="48" spans="1:16" x14ac:dyDescent="0.25">
      <c r="A48" s="69" t="s">
        <v>71</v>
      </c>
      <c r="B48" s="60" t="s">
        <v>77</v>
      </c>
      <c r="C48" s="61">
        <v>0</v>
      </c>
      <c r="D48" s="61">
        <v>218933213.57159701</v>
      </c>
      <c r="E48" s="61">
        <v>0</v>
      </c>
      <c r="F48" s="61">
        <v>608421225.92162406</v>
      </c>
      <c r="G48" s="62">
        <v>0</v>
      </c>
      <c r="H48" s="62">
        <f t="shared" si="5"/>
        <v>486736980.73729926</v>
      </c>
      <c r="I48" s="62">
        <v>218933214</v>
      </c>
      <c r="J48" s="62">
        <v>266255364</v>
      </c>
      <c r="K48" s="62">
        <f t="shared" si="1"/>
        <v>705670194.3088963</v>
      </c>
      <c r="L48" s="62">
        <f t="shared" si="2"/>
        <v>439414830.3088963</v>
      </c>
      <c r="M48" s="63">
        <v>439422096.01837766</v>
      </c>
      <c r="N48" s="63">
        <f t="shared" si="3"/>
        <v>-7265.7094813585281</v>
      </c>
      <c r="O48" s="63" t="s">
        <v>233</v>
      </c>
      <c r="P48" s="70">
        <f t="shared" si="4"/>
        <v>0.62269149788767919</v>
      </c>
    </row>
    <row r="49" spans="1:16" x14ac:dyDescent="0.25">
      <c r="A49" s="69" t="s">
        <v>71</v>
      </c>
      <c r="B49" s="60" t="s">
        <v>78</v>
      </c>
      <c r="C49" s="61">
        <v>0</v>
      </c>
      <c r="D49" s="61">
        <v>119155463.00020088</v>
      </c>
      <c r="E49" s="61">
        <v>0</v>
      </c>
      <c r="F49" s="61">
        <v>332498175.02962625</v>
      </c>
      <c r="G49" s="62">
        <v>0</v>
      </c>
      <c r="H49" s="62">
        <f t="shared" si="5"/>
        <v>265998540.02370101</v>
      </c>
      <c r="I49" s="62">
        <v>238000633.78999999</v>
      </c>
      <c r="J49" s="62">
        <v>238000633.78999999</v>
      </c>
      <c r="K49" s="62">
        <f t="shared" si="1"/>
        <v>385154003.02390188</v>
      </c>
      <c r="L49" s="62">
        <f t="shared" si="2"/>
        <v>147153369.23390189</v>
      </c>
      <c r="M49" s="63">
        <v>147153369.20020092</v>
      </c>
      <c r="N49" s="63">
        <f t="shared" si="3"/>
        <v>3.370097279548645E-2</v>
      </c>
      <c r="O49" s="63"/>
      <c r="P49" s="71">
        <f t="shared" si="4"/>
        <v>0.38206371497784963</v>
      </c>
    </row>
    <row r="50" spans="1:16" ht="45" x14ac:dyDescent="0.25">
      <c r="A50" s="69" t="s">
        <v>11</v>
      </c>
      <c r="B50" s="60" t="s">
        <v>15</v>
      </c>
      <c r="C50" s="61">
        <v>4271829.9721073592</v>
      </c>
      <c r="D50" s="61">
        <v>82325035.973160371</v>
      </c>
      <c r="E50" s="61">
        <v>2766015.8243402662</v>
      </c>
      <c r="F50" s="61">
        <v>223116250.0335395</v>
      </c>
      <c r="G50" s="62">
        <v>129000000</v>
      </c>
      <c r="H50" s="62">
        <f t="shared" si="5"/>
        <v>180705812.68630382</v>
      </c>
      <c r="I50" s="62">
        <v>214965637</v>
      </c>
      <c r="J50" s="62">
        <v>265633637</v>
      </c>
      <c r="K50" s="62">
        <f t="shared" si="1"/>
        <v>267302678.63157153</v>
      </c>
      <c r="L50" s="62">
        <f t="shared" si="2"/>
        <v>1669041.6315715313</v>
      </c>
      <c r="M50" s="63">
        <v>1721.6731603741646</v>
      </c>
      <c r="N50" s="63">
        <f t="shared" si="3"/>
        <v>1667319.9584111571</v>
      </c>
      <c r="O50" s="63" t="s">
        <v>240</v>
      </c>
      <c r="P50" s="71">
        <f t="shared" si="4"/>
        <v>6.2440138651659524E-3</v>
      </c>
    </row>
    <row r="51" spans="1:16" x14ac:dyDescent="0.25">
      <c r="A51" s="69" t="s">
        <v>47</v>
      </c>
      <c r="B51" s="60" t="s">
        <v>53</v>
      </c>
      <c r="C51" s="61">
        <v>0</v>
      </c>
      <c r="D51" s="61">
        <v>315339356.44961941</v>
      </c>
      <c r="E51" s="61">
        <v>0</v>
      </c>
      <c r="F51" s="61">
        <v>875548642.11840546</v>
      </c>
      <c r="G51" s="62">
        <v>204180983</v>
      </c>
      <c r="H51" s="62">
        <f t="shared" si="5"/>
        <v>700438913.69472444</v>
      </c>
      <c r="I51" s="62">
        <v>519180983</v>
      </c>
      <c r="J51" s="62">
        <v>315000000</v>
      </c>
      <c r="K51" s="62">
        <f t="shared" si="1"/>
        <v>1015778270.1443439</v>
      </c>
      <c r="L51" s="62">
        <f t="shared" si="2"/>
        <v>700778270.14434385</v>
      </c>
      <c r="M51" s="63">
        <v>700778269.2496196</v>
      </c>
      <c r="N51" s="63">
        <f t="shared" si="3"/>
        <v>0.89472424983978271</v>
      </c>
      <c r="O51" s="63"/>
      <c r="P51" s="70">
        <f t="shared" si="4"/>
        <v>0.68989295276493956</v>
      </c>
    </row>
    <row r="52" spans="1:16" x14ac:dyDescent="0.25">
      <c r="A52" s="69" t="s">
        <v>47</v>
      </c>
      <c r="B52" s="60" t="s">
        <v>54</v>
      </c>
      <c r="C52" s="61">
        <v>0</v>
      </c>
      <c r="D52" s="61">
        <v>427220718.36554521</v>
      </c>
      <c r="E52" s="61">
        <v>0</v>
      </c>
      <c r="F52" s="61">
        <v>1197304555.3130658</v>
      </c>
      <c r="G52" s="62">
        <v>61476377</v>
      </c>
      <c r="H52" s="62">
        <f t="shared" si="5"/>
        <v>957843644.25045264</v>
      </c>
      <c r="I52" s="62">
        <v>488476377</v>
      </c>
      <c r="J52" s="62">
        <v>427000000</v>
      </c>
      <c r="K52" s="62">
        <f t="shared" si="1"/>
        <v>1385064362.6159978</v>
      </c>
      <c r="L52" s="62">
        <f t="shared" si="2"/>
        <v>958064362.61599779</v>
      </c>
      <c r="M52" s="63">
        <v>958331194.96423435</v>
      </c>
      <c r="N52" s="63">
        <f t="shared" si="3"/>
        <v>-266832.34823656082</v>
      </c>
      <c r="O52" s="63" t="s">
        <v>233</v>
      </c>
      <c r="P52" s="70">
        <f t="shared" si="4"/>
        <v>0.69171107745959415</v>
      </c>
    </row>
    <row r="53" spans="1:16" x14ac:dyDescent="0.25">
      <c r="A53" s="69" t="s">
        <v>112</v>
      </c>
      <c r="B53" s="60" t="s">
        <v>118</v>
      </c>
      <c r="C53" s="61">
        <v>0</v>
      </c>
      <c r="D53" s="61">
        <v>579385096.58220971</v>
      </c>
      <c r="E53" s="61">
        <v>0</v>
      </c>
      <c r="F53" s="61">
        <v>1625534525.9374511</v>
      </c>
      <c r="G53" s="62">
        <v>0</v>
      </c>
      <c r="H53" s="62">
        <f t="shared" si="5"/>
        <v>1300427620.7499609</v>
      </c>
      <c r="I53" s="62">
        <v>571091167</v>
      </c>
      <c r="J53" s="61">
        <v>618413317</v>
      </c>
      <c r="K53" s="62">
        <f t="shared" si="1"/>
        <v>1879812717.3321705</v>
      </c>
      <c r="L53" s="62">
        <f t="shared" si="2"/>
        <v>1261399400.3321705</v>
      </c>
      <c r="M53" s="63">
        <v>1261399399.5822096</v>
      </c>
      <c r="N53" s="63">
        <f t="shared" si="3"/>
        <v>0.74996089935302734</v>
      </c>
      <c r="O53" s="63"/>
      <c r="P53" s="70">
        <f t="shared" si="4"/>
        <v>0.67102397419799775</v>
      </c>
    </row>
    <row r="54" spans="1:16" x14ac:dyDescent="0.25">
      <c r="A54" s="69" t="s">
        <v>38</v>
      </c>
      <c r="B54" s="60" t="s">
        <v>40</v>
      </c>
      <c r="C54" s="61">
        <v>0</v>
      </c>
      <c r="D54" s="61">
        <v>320605346.48974913</v>
      </c>
      <c r="E54" s="61">
        <v>0</v>
      </c>
      <c r="F54" s="61">
        <v>880731414.1273576</v>
      </c>
      <c r="G54" s="62">
        <v>0</v>
      </c>
      <c r="H54" s="62">
        <f t="shared" si="5"/>
        <v>704585131.30188608</v>
      </c>
      <c r="I54" s="62">
        <v>320605346</v>
      </c>
      <c r="J54" s="62">
        <v>1090309757</v>
      </c>
      <c r="K54" s="62">
        <f t="shared" si="1"/>
        <v>1025190477.7916353</v>
      </c>
      <c r="L54" s="62">
        <f t="shared" si="2"/>
        <v>-65119279.208364725</v>
      </c>
      <c r="M54" s="63">
        <v>-65119280.110250711</v>
      </c>
      <c r="N54" s="63">
        <f t="shared" si="3"/>
        <v>0.901885986328125</v>
      </c>
      <c r="O54" s="63"/>
      <c r="P54" s="71">
        <f t="shared" si="4"/>
        <v>-6.3519200206227325E-2</v>
      </c>
    </row>
    <row r="55" spans="1:16" x14ac:dyDescent="0.25">
      <c r="A55" s="69" t="s">
        <v>25</v>
      </c>
      <c r="B55" s="60" t="s">
        <v>27</v>
      </c>
      <c r="C55" s="61">
        <v>0</v>
      </c>
      <c r="D55" s="61">
        <v>214767618.9482038</v>
      </c>
      <c r="E55" s="61">
        <v>0</v>
      </c>
      <c r="F55" s="61">
        <v>583396971.5470376</v>
      </c>
      <c r="G55" s="62">
        <v>0</v>
      </c>
      <c r="H55" s="62">
        <f t="shared" si="5"/>
        <v>466717577.23763013</v>
      </c>
      <c r="I55" s="62">
        <v>0</v>
      </c>
      <c r="J55" s="62">
        <v>293000000</v>
      </c>
      <c r="K55" s="62">
        <f t="shared" si="1"/>
        <v>681485196.18583393</v>
      </c>
      <c r="L55" s="62">
        <f t="shared" si="2"/>
        <v>388485196.18583393</v>
      </c>
      <c r="M55" s="63">
        <v>388485195.74820375</v>
      </c>
      <c r="N55" s="63">
        <f t="shared" si="3"/>
        <v>0.43763017654418945</v>
      </c>
      <c r="O55" s="63"/>
      <c r="P55" s="70">
        <f t="shared" si="4"/>
        <v>0.57005669141475823</v>
      </c>
    </row>
    <row r="56" spans="1:16" x14ac:dyDescent="0.25">
      <c r="A56" s="69" t="s">
        <v>25</v>
      </c>
      <c r="B56" s="60" t="s">
        <v>28</v>
      </c>
      <c r="C56" s="61">
        <v>0</v>
      </c>
      <c r="D56" s="61">
        <v>372847733.58624297</v>
      </c>
      <c r="E56" s="61">
        <v>0</v>
      </c>
      <c r="F56" s="61">
        <v>1038651385.3627254</v>
      </c>
      <c r="G56" s="62">
        <v>0</v>
      </c>
      <c r="H56" s="62">
        <f t="shared" si="5"/>
        <v>830921108.29018033</v>
      </c>
      <c r="I56" s="62">
        <v>0</v>
      </c>
      <c r="J56" s="62">
        <v>480000000</v>
      </c>
      <c r="K56" s="62">
        <f t="shared" si="1"/>
        <v>1203768841.8764234</v>
      </c>
      <c r="L56" s="62">
        <f t="shared" si="2"/>
        <v>723768841.87642336</v>
      </c>
      <c r="M56" s="63">
        <v>723768840.78624296</v>
      </c>
      <c r="N56" s="63">
        <f t="shared" si="3"/>
        <v>1.0901803970336914</v>
      </c>
      <c r="O56" s="63"/>
      <c r="P56" s="70">
        <f t="shared" si="4"/>
        <v>0.601252347376112</v>
      </c>
    </row>
    <row r="57" spans="1:16" x14ac:dyDescent="0.25">
      <c r="A57" s="69" t="s">
        <v>123</v>
      </c>
      <c r="B57" s="60" t="s">
        <v>128</v>
      </c>
      <c r="C57" s="61">
        <v>274920320.69674766</v>
      </c>
      <c r="D57" s="61">
        <v>342160879.71846426</v>
      </c>
      <c r="E57" s="61">
        <v>405576717.00685525</v>
      </c>
      <c r="F57" s="61">
        <v>951429795.79764116</v>
      </c>
      <c r="G57" s="62">
        <v>0</v>
      </c>
      <c r="H57" s="62">
        <f t="shared" si="5"/>
        <v>1085605210.243597</v>
      </c>
      <c r="I57" s="62">
        <v>0</v>
      </c>
      <c r="J57" s="62">
        <v>857000000</v>
      </c>
      <c r="K57" s="62">
        <f t="shared" si="1"/>
        <v>1702686410.6588092</v>
      </c>
      <c r="L57" s="62">
        <f t="shared" si="2"/>
        <v>845686410.65880919</v>
      </c>
      <c r="M57" s="63">
        <v>856298823.30838537</v>
      </c>
      <c r="N57" s="63">
        <f t="shared" si="3"/>
        <v>-10612412.649576187</v>
      </c>
      <c r="O57" s="63" t="s">
        <v>233</v>
      </c>
      <c r="P57" s="70">
        <f t="shared" si="4"/>
        <v>0.49667772372224039</v>
      </c>
    </row>
    <row r="58" spans="1:16" x14ac:dyDescent="0.25">
      <c r="A58" s="69" t="s">
        <v>0</v>
      </c>
      <c r="B58" s="60" t="s">
        <v>2</v>
      </c>
      <c r="C58" s="61">
        <v>2052833.0035557707</v>
      </c>
      <c r="D58" s="61">
        <v>197959718.33486614</v>
      </c>
      <c r="E58" s="61">
        <v>2979855.0789667908</v>
      </c>
      <c r="F58" s="61">
        <v>530729864.82822531</v>
      </c>
      <c r="G58" s="62">
        <v>0</v>
      </c>
      <c r="H58" s="62">
        <f t="shared" si="5"/>
        <v>426967775.92575371</v>
      </c>
      <c r="I58" s="62">
        <v>0</v>
      </c>
      <c r="J58" s="62">
        <v>170000000</v>
      </c>
      <c r="K58" s="62">
        <f t="shared" si="1"/>
        <v>626980327.26417565</v>
      </c>
      <c r="L58" s="62">
        <f t="shared" si="2"/>
        <v>456980327.26417565</v>
      </c>
      <c r="M58" s="63">
        <v>456980325.73486626</v>
      </c>
      <c r="N58" s="63">
        <f t="shared" si="3"/>
        <v>1.5293093919754028</v>
      </c>
      <c r="O58" s="63"/>
      <c r="P58" s="70">
        <f t="shared" si="4"/>
        <v>0.72885911629509359</v>
      </c>
    </row>
    <row r="59" spans="1:16" x14ac:dyDescent="0.25">
      <c r="A59" s="69" t="s">
        <v>56</v>
      </c>
      <c r="B59" s="60" t="s">
        <v>61</v>
      </c>
      <c r="C59" s="61">
        <v>0</v>
      </c>
      <c r="D59" s="61">
        <v>0</v>
      </c>
      <c r="E59" s="61">
        <v>0</v>
      </c>
      <c r="F59" s="61">
        <v>0</v>
      </c>
      <c r="G59" s="62">
        <v>0</v>
      </c>
      <c r="H59" s="62">
        <f t="shared" si="5"/>
        <v>0</v>
      </c>
      <c r="I59" s="62">
        <v>0</v>
      </c>
      <c r="J59" s="62">
        <v>0</v>
      </c>
      <c r="K59" s="62">
        <f t="shared" si="1"/>
        <v>0</v>
      </c>
      <c r="L59" s="62">
        <f t="shared" si="2"/>
        <v>0</v>
      </c>
      <c r="M59" s="63">
        <v>416071.95575850143</v>
      </c>
      <c r="N59" s="63">
        <f t="shared" si="3"/>
        <v>-416071.95575850143</v>
      </c>
      <c r="O59" s="63" t="s">
        <v>233</v>
      </c>
      <c r="P59" s="71" t="e">
        <f t="shared" si="4"/>
        <v>#DIV/0!</v>
      </c>
    </row>
    <row r="60" spans="1:16" x14ac:dyDescent="0.25">
      <c r="A60" s="69" t="s">
        <v>0</v>
      </c>
      <c r="B60" s="60" t="s">
        <v>152</v>
      </c>
      <c r="C60" s="61">
        <v>0</v>
      </c>
      <c r="D60" s="61">
        <v>143158002.30959389</v>
      </c>
      <c r="E60" s="61">
        <v>0</v>
      </c>
      <c r="F60" s="61">
        <v>389780352.77472568</v>
      </c>
      <c r="G60" s="62">
        <v>0</v>
      </c>
      <c r="H60" s="62">
        <f t="shared" si="5"/>
        <v>311824282.21978056</v>
      </c>
      <c r="I60" s="62">
        <v>176660709</v>
      </c>
      <c r="J60" s="62">
        <v>446153596</v>
      </c>
      <c r="K60" s="62">
        <f t="shared" si="1"/>
        <v>454982284.52937448</v>
      </c>
      <c r="L60" s="62">
        <f t="shared" si="2"/>
        <v>8828688.5293744802</v>
      </c>
      <c r="M60" s="63">
        <v>8828687.9095939398</v>
      </c>
      <c r="N60" s="63">
        <f t="shared" si="3"/>
        <v>0.61978054046630859</v>
      </c>
      <c r="O60" s="63"/>
      <c r="P60" s="71">
        <f t="shared" si="4"/>
        <v>1.9404466568421926E-2</v>
      </c>
    </row>
    <row r="61" spans="1:16" x14ac:dyDescent="0.25">
      <c r="A61" s="69" t="s">
        <v>68</v>
      </c>
      <c r="B61" s="60" t="s">
        <v>69</v>
      </c>
      <c r="C61" s="61">
        <v>0</v>
      </c>
      <c r="D61" s="61">
        <v>306889609.74152458</v>
      </c>
      <c r="E61" s="61">
        <v>0</v>
      </c>
      <c r="F61" s="61">
        <v>836592768.60988426</v>
      </c>
      <c r="G61" s="62">
        <v>0</v>
      </c>
      <c r="H61" s="62">
        <f t="shared" si="5"/>
        <v>669274214.88790751</v>
      </c>
      <c r="I61" s="62">
        <v>0</v>
      </c>
      <c r="J61" s="62">
        <v>0</v>
      </c>
      <c r="K61" s="62">
        <f t="shared" si="1"/>
        <v>976163824.62943208</v>
      </c>
      <c r="L61" s="62">
        <f t="shared" si="2"/>
        <v>976163824.62943208</v>
      </c>
      <c r="M61" s="63">
        <v>976163824.14152467</v>
      </c>
      <c r="N61" s="63">
        <f t="shared" si="3"/>
        <v>0.48790740966796875</v>
      </c>
      <c r="O61" s="63"/>
      <c r="P61" s="70">
        <f t="shared" si="4"/>
        <v>1</v>
      </c>
    </row>
    <row r="62" spans="1:16" x14ac:dyDescent="0.25">
      <c r="A62" s="69" t="s">
        <v>56</v>
      </c>
      <c r="B62" s="60" t="s">
        <v>62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2">
        <f t="shared" si="5"/>
        <v>0</v>
      </c>
      <c r="I62" s="62">
        <v>0</v>
      </c>
      <c r="J62" s="62">
        <v>0</v>
      </c>
      <c r="K62" s="62">
        <f t="shared" si="1"/>
        <v>0</v>
      </c>
      <c r="L62" s="62">
        <f t="shared" si="2"/>
        <v>0</v>
      </c>
      <c r="M62" s="63">
        <v>1104588.2066853042</v>
      </c>
      <c r="N62" s="63">
        <f t="shared" si="3"/>
        <v>-1104588.2066853042</v>
      </c>
      <c r="O62" s="63" t="s">
        <v>233</v>
      </c>
      <c r="P62" s="71" t="e">
        <f t="shared" si="4"/>
        <v>#DIV/0!</v>
      </c>
    </row>
    <row r="63" spans="1:16" x14ac:dyDescent="0.25">
      <c r="A63" s="69" t="s">
        <v>11</v>
      </c>
      <c r="B63" s="60" t="s">
        <v>16</v>
      </c>
      <c r="C63" s="61">
        <v>0</v>
      </c>
      <c r="D63" s="61">
        <v>66221291.487521723</v>
      </c>
      <c r="E63" s="61">
        <v>0</v>
      </c>
      <c r="F63" s="61">
        <v>181361886.42682585</v>
      </c>
      <c r="G63" s="62">
        <v>0</v>
      </c>
      <c r="H63" s="62">
        <f t="shared" si="5"/>
        <v>145089509.14146069</v>
      </c>
      <c r="I63" s="62">
        <v>0</v>
      </c>
      <c r="J63" s="62">
        <v>0</v>
      </c>
      <c r="K63" s="62">
        <f t="shared" si="1"/>
        <v>211310800.62898242</v>
      </c>
      <c r="L63" s="62">
        <f t="shared" si="2"/>
        <v>211310800.62898242</v>
      </c>
      <c r="M63" s="63">
        <v>211310800.28752172</v>
      </c>
      <c r="N63" s="63">
        <f t="shared" si="3"/>
        <v>0.3414607048034668</v>
      </c>
      <c r="O63" s="63"/>
      <c r="P63" s="70">
        <f t="shared" si="4"/>
        <v>1</v>
      </c>
    </row>
    <row r="64" spans="1:16" x14ac:dyDescent="0.25">
      <c r="A64" s="69" t="s">
        <v>90</v>
      </c>
      <c r="B64" s="60" t="s">
        <v>96</v>
      </c>
      <c r="C64" s="61">
        <v>555785454.03548932</v>
      </c>
      <c r="D64" s="61">
        <v>305985763.74072182</v>
      </c>
      <c r="E64" s="61">
        <v>229357893.36679724</v>
      </c>
      <c r="F64" s="61">
        <v>860144937.36230385</v>
      </c>
      <c r="G64" s="62">
        <v>0</v>
      </c>
      <c r="H64" s="62">
        <f t="shared" si="5"/>
        <v>871602264.58328104</v>
      </c>
      <c r="I64" s="62">
        <v>0</v>
      </c>
      <c r="J64" s="62">
        <v>0</v>
      </c>
      <c r="K64" s="62">
        <f t="shared" si="1"/>
        <v>1733373482.3594921</v>
      </c>
      <c r="L64" s="62">
        <f t="shared" si="2"/>
        <v>1733373482.3594921</v>
      </c>
      <c r="M64" s="63">
        <v>1733373480.980722</v>
      </c>
      <c r="N64" s="63">
        <f t="shared" si="3"/>
        <v>1.378770112991333</v>
      </c>
      <c r="O64" s="63"/>
      <c r="P64" s="70">
        <f t="shared" si="4"/>
        <v>1</v>
      </c>
    </row>
    <row r="65" spans="1:16" x14ac:dyDescent="0.25">
      <c r="A65" s="69" t="s">
        <v>11</v>
      </c>
      <c r="B65" s="60" t="s">
        <v>17</v>
      </c>
      <c r="C65" s="61">
        <v>16395.506883203852</v>
      </c>
      <c r="D65" s="61">
        <v>414944551.96555352</v>
      </c>
      <c r="E65" s="61">
        <v>22692.143036317797</v>
      </c>
      <c r="F65" s="61">
        <v>1175743996.6070304</v>
      </c>
      <c r="G65" s="62">
        <v>0</v>
      </c>
      <c r="H65" s="62">
        <f t="shared" si="5"/>
        <v>940613351.00005341</v>
      </c>
      <c r="I65" s="62">
        <v>414944522</v>
      </c>
      <c r="J65" s="62">
        <v>414944522</v>
      </c>
      <c r="K65" s="62">
        <f t="shared" si="1"/>
        <v>1355574298.4724901</v>
      </c>
      <c r="L65" s="62">
        <f t="shared" si="2"/>
        <v>940629776.47249007</v>
      </c>
      <c r="M65" s="63">
        <v>940629775.07555366</v>
      </c>
      <c r="N65" s="63">
        <f t="shared" si="3"/>
        <v>1.3969364166259766</v>
      </c>
      <c r="O65" s="63"/>
      <c r="P65" s="70">
        <f t="shared" si="4"/>
        <v>0.69389761780850046</v>
      </c>
    </row>
    <row r="66" spans="1:16" x14ac:dyDescent="0.25">
      <c r="A66" s="69" t="s">
        <v>25</v>
      </c>
      <c r="B66" s="60" t="s">
        <v>29</v>
      </c>
      <c r="C66" s="61">
        <v>0</v>
      </c>
      <c r="D66" s="61">
        <v>246274666.99632907</v>
      </c>
      <c r="E66" s="61">
        <v>0</v>
      </c>
      <c r="F66" s="61">
        <v>694029200.34624827</v>
      </c>
      <c r="G66" s="62">
        <v>0</v>
      </c>
      <c r="H66" s="62">
        <f t="shared" si="5"/>
        <v>555223360.27699864</v>
      </c>
      <c r="I66" s="62">
        <v>0</v>
      </c>
      <c r="J66" s="62">
        <v>288500000</v>
      </c>
      <c r="K66" s="62">
        <f t="shared" si="1"/>
        <v>801498027.27332771</v>
      </c>
      <c r="L66" s="62">
        <f t="shared" si="2"/>
        <v>512998027.27332771</v>
      </c>
      <c r="M66" s="63">
        <v>512998026.19632924</v>
      </c>
      <c r="N66" s="63">
        <f t="shared" si="3"/>
        <v>1.0769984722137451</v>
      </c>
      <c r="O66" s="63"/>
      <c r="P66" s="70">
        <f t="shared" si="4"/>
        <v>0.64004902048047663</v>
      </c>
    </row>
    <row r="67" spans="1:16" ht="30" x14ac:dyDescent="0.25">
      <c r="A67" s="69" t="s">
        <v>25</v>
      </c>
      <c r="B67" s="60" t="s">
        <v>30</v>
      </c>
      <c r="C67" s="61">
        <v>0</v>
      </c>
      <c r="D67" s="61">
        <v>241494936.3169539</v>
      </c>
      <c r="E67" s="61">
        <v>0</v>
      </c>
      <c r="F67" s="61">
        <v>660800137.632447</v>
      </c>
      <c r="G67" s="62">
        <v>568513615</v>
      </c>
      <c r="H67" s="62">
        <f t="shared" si="5"/>
        <v>528640110.10595763</v>
      </c>
      <c r="I67" s="62">
        <v>930346865</v>
      </c>
      <c r="J67" s="62">
        <v>553546865</v>
      </c>
      <c r="K67" s="62">
        <f t="shared" si="1"/>
        <v>770135046.42291152</v>
      </c>
      <c r="L67" s="62">
        <f t="shared" si="2"/>
        <v>216588181.42291152</v>
      </c>
      <c r="M67" s="63">
        <v>247801795.11695409</v>
      </c>
      <c r="N67" s="63">
        <f t="shared" si="3"/>
        <v>-31213613.694042563</v>
      </c>
      <c r="O67" s="63" t="s">
        <v>241</v>
      </c>
      <c r="P67" s="71">
        <f t="shared" si="4"/>
        <v>0.28123402827713206</v>
      </c>
    </row>
    <row r="68" spans="1:16" ht="30" x14ac:dyDescent="0.25">
      <c r="A68" s="69" t="s">
        <v>38</v>
      </c>
      <c r="B68" s="60" t="s">
        <v>41</v>
      </c>
      <c r="C68" s="61">
        <v>18944319.588097475</v>
      </c>
      <c r="D68" s="61">
        <v>525450255.3258968</v>
      </c>
      <c r="E68" s="61">
        <v>26082785.609538324</v>
      </c>
      <c r="F68" s="61">
        <v>1464078556.563858</v>
      </c>
      <c r="G68" s="62">
        <v>0</v>
      </c>
      <c r="H68" s="62">
        <f t="shared" ref="H68:H104" si="6">(E68+F68)*80%</f>
        <v>1192129073.7387171</v>
      </c>
      <c r="I68" s="62">
        <v>466841934</v>
      </c>
      <c r="J68" s="62">
        <v>1625159281</v>
      </c>
      <c r="K68" s="62">
        <f t="shared" si="1"/>
        <v>1736523648.6527114</v>
      </c>
      <c r="L68" s="62">
        <f t="shared" si="2"/>
        <v>111364367.65271139</v>
      </c>
      <c r="M68" s="63">
        <v>117764288.12857103</v>
      </c>
      <c r="N68" s="63">
        <f t="shared" si="3"/>
        <v>-6399920.475859642</v>
      </c>
      <c r="O68" s="63" t="s">
        <v>245</v>
      </c>
      <c r="P68" s="71">
        <f t="shared" si="4"/>
        <v>6.4130636941865937E-2</v>
      </c>
    </row>
    <row r="69" spans="1:16" x14ac:dyDescent="0.25">
      <c r="A69" s="69" t="s">
        <v>38</v>
      </c>
      <c r="B69" s="60" t="s">
        <v>42</v>
      </c>
      <c r="C69" s="61">
        <v>0</v>
      </c>
      <c r="D69" s="61">
        <v>145546010.04700798</v>
      </c>
      <c r="E69" s="61">
        <v>0</v>
      </c>
      <c r="F69" s="61">
        <v>384436038.22306913</v>
      </c>
      <c r="G69" s="62">
        <v>0</v>
      </c>
      <c r="H69" s="62">
        <f t="shared" si="6"/>
        <v>307548830.57845533</v>
      </c>
      <c r="I69" s="62">
        <v>145489931</v>
      </c>
      <c r="J69" s="62">
        <v>453089931</v>
      </c>
      <c r="K69" s="62">
        <f t="shared" ref="K69:K120" si="7">H69+D69+C69</f>
        <v>453094840.62546331</v>
      </c>
      <c r="L69" s="62">
        <f t="shared" ref="L69:L120" si="8">K69-J69</f>
        <v>4909.6254633069038</v>
      </c>
      <c r="M69" s="63">
        <v>4908.6470080018044</v>
      </c>
      <c r="N69" s="63">
        <f t="shared" ref="N69:N120" si="9">L69-M69</f>
        <v>0.9784553050994873</v>
      </c>
      <c r="O69" s="63"/>
      <c r="P69" s="71">
        <f t="shared" ref="P69:P120" si="10">L69/K69</f>
        <v>1.0835756718239245E-5</v>
      </c>
    </row>
    <row r="70" spans="1:16" x14ac:dyDescent="0.25">
      <c r="A70" s="69" t="s">
        <v>101</v>
      </c>
      <c r="B70" s="60" t="s">
        <v>106</v>
      </c>
      <c r="C70" s="61">
        <v>0</v>
      </c>
      <c r="D70" s="61">
        <v>171293631.93374205</v>
      </c>
      <c r="E70" s="61">
        <v>0</v>
      </c>
      <c r="F70" s="61">
        <v>467311929.64807123</v>
      </c>
      <c r="G70" s="62">
        <v>0</v>
      </c>
      <c r="H70" s="62">
        <f t="shared" si="6"/>
        <v>373849543.71845698</v>
      </c>
      <c r="I70" s="62">
        <v>171293632</v>
      </c>
      <c r="J70" s="62">
        <v>291293632</v>
      </c>
      <c r="K70" s="62">
        <f t="shared" si="7"/>
        <v>545143175.65219903</v>
      </c>
      <c r="L70" s="62">
        <f t="shared" si="8"/>
        <v>253849543.65219903</v>
      </c>
      <c r="M70" s="63">
        <v>253849543.13374209</v>
      </c>
      <c r="N70" s="63">
        <f t="shared" si="9"/>
        <v>0.51845693588256836</v>
      </c>
      <c r="O70" s="63"/>
      <c r="P70" s="70">
        <f t="shared" si="10"/>
        <v>0.46565664762930992</v>
      </c>
    </row>
    <row r="71" spans="1:16" x14ac:dyDescent="0.25">
      <c r="A71" s="69" t="s">
        <v>68</v>
      </c>
      <c r="B71" s="60" t="s">
        <v>70</v>
      </c>
      <c r="C71" s="61">
        <v>0</v>
      </c>
      <c r="D71" s="61">
        <v>233871680.8475166</v>
      </c>
      <c r="E71" s="61">
        <v>0</v>
      </c>
      <c r="F71" s="61">
        <v>638450075.14092767</v>
      </c>
      <c r="G71" s="62">
        <v>0</v>
      </c>
      <c r="H71" s="62">
        <f t="shared" si="6"/>
        <v>510760060.11274219</v>
      </c>
      <c r="I71" s="62">
        <v>0</v>
      </c>
      <c r="J71" s="62">
        <v>233871681</v>
      </c>
      <c r="K71" s="62">
        <f t="shared" si="7"/>
        <v>744631740.96025872</v>
      </c>
      <c r="L71" s="62">
        <f t="shared" si="8"/>
        <v>510760059.96025872</v>
      </c>
      <c r="M71" s="63">
        <v>510760059.84751654</v>
      </c>
      <c r="N71" s="63">
        <f t="shared" si="9"/>
        <v>0.11274218559265137</v>
      </c>
      <c r="O71" s="63"/>
      <c r="P71" s="70">
        <f t="shared" si="10"/>
        <v>0.6859230299551764</v>
      </c>
    </row>
    <row r="72" spans="1:16" x14ac:dyDescent="0.25">
      <c r="A72" s="69" t="s">
        <v>101</v>
      </c>
      <c r="B72" s="60" t="s">
        <v>107</v>
      </c>
      <c r="C72" s="61">
        <v>0</v>
      </c>
      <c r="D72" s="61">
        <v>346096671.91495544</v>
      </c>
      <c r="E72" s="61">
        <v>0</v>
      </c>
      <c r="F72" s="61">
        <v>965702272.7888242</v>
      </c>
      <c r="G72" s="62">
        <v>0</v>
      </c>
      <c r="H72" s="62">
        <f t="shared" si="6"/>
        <v>772561818.23105943</v>
      </c>
      <c r="I72" s="62">
        <v>0</v>
      </c>
      <c r="J72" s="62">
        <v>180000000</v>
      </c>
      <c r="K72" s="62">
        <f t="shared" si="7"/>
        <v>1118658490.1460149</v>
      </c>
      <c r="L72" s="62">
        <f t="shared" si="8"/>
        <v>938658490.14601493</v>
      </c>
      <c r="M72" s="63">
        <v>938658489.51495552</v>
      </c>
      <c r="N72" s="63">
        <f t="shared" si="9"/>
        <v>0.63105940818786621</v>
      </c>
      <c r="O72" s="63"/>
      <c r="P72" s="70">
        <f t="shared" si="10"/>
        <v>0.83909298361781071</v>
      </c>
    </row>
    <row r="73" spans="1:16" x14ac:dyDescent="0.25">
      <c r="A73" s="69" t="s">
        <v>21</v>
      </c>
      <c r="B73" s="60" t="s">
        <v>24</v>
      </c>
      <c r="C73" s="61">
        <v>72344720.090429515</v>
      </c>
      <c r="D73" s="61">
        <v>459846363.38417053</v>
      </c>
      <c r="E73" s="61">
        <v>15007693.348147342</v>
      </c>
      <c r="F73" s="61">
        <v>1293621820.5587628</v>
      </c>
      <c r="G73" s="62">
        <v>0</v>
      </c>
      <c r="H73" s="62">
        <f t="shared" si="6"/>
        <v>1046903611.1255282</v>
      </c>
      <c r="I73" s="62">
        <v>0</v>
      </c>
      <c r="J73" s="62">
        <v>30000000</v>
      </c>
      <c r="K73" s="62">
        <f t="shared" si="7"/>
        <v>1579094694.6001284</v>
      </c>
      <c r="L73" s="62">
        <f t="shared" si="8"/>
        <v>1549094694.6001284</v>
      </c>
      <c r="M73" s="63">
        <v>1549094693.0741706</v>
      </c>
      <c r="N73" s="63">
        <f t="shared" si="9"/>
        <v>1.5259578227996826</v>
      </c>
      <c r="O73" s="63"/>
      <c r="P73" s="70">
        <f t="shared" si="10"/>
        <v>0.98100177265962074</v>
      </c>
    </row>
    <row r="74" spans="1:16" ht="45" x14ac:dyDescent="0.25">
      <c r="A74" s="69" t="s">
        <v>82</v>
      </c>
      <c r="B74" s="60" t="s">
        <v>87</v>
      </c>
      <c r="C74" s="61">
        <v>256445411.21394414</v>
      </c>
      <c r="D74" s="61">
        <v>90621832.086483717</v>
      </c>
      <c r="E74" s="61">
        <v>316965525.08030111</v>
      </c>
      <c r="F74" s="61">
        <v>247441903.24939179</v>
      </c>
      <c r="G74" s="62">
        <v>627070601</v>
      </c>
      <c r="H74" s="62">
        <f t="shared" si="6"/>
        <v>451525942.66375428</v>
      </c>
      <c r="I74" s="62">
        <v>998270204</v>
      </c>
      <c r="J74" s="62">
        <v>541199603</v>
      </c>
      <c r="K74" s="62">
        <f t="shared" si="7"/>
        <v>798593185.96418214</v>
      </c>
      <c r="L74" s="62">
        <f t="shared" si="8"/>
        <v>257393582.96418214</v>
      </c>
      <c r="M74" s="63">
        <v>334866938.89648378</v>
      </c>
      <c r="N74" s="63">
        <f t="shared" si="9"/>
        <v>-77473355.932301641</v>
      </c>
      <c r="O74" s="63" t="s">
        <v>242</v>
      </c>
      <c r="P74" s="71">
        <f t="shared" si="10"/>
        <v>0.32230876432212202</v>
      </c>
    </row>
    <row r="75" spans="1:16" x14ac:dyDescent="0.25">
      <c r="A75" s="69" t="s">
        <v>25</v>
      </c>
      <c r="B75" s="60" t="s">
        <v>31</v>
      </c>
      <c r="C75" s="61">
        <v>0</v>
      </c>
      <c r="D75" s="61">
        <v>144535699.08117893</v>
      </c>
      <c r="E75" s="61">
        <v>0</v>
      </c>
      <c r="F75" s="61">
        <v>392929219.41084433</v>
      </c>
      <c r="G75" s="62">
        <v>0</v>
      </c>
      <c r="H75" s="62">
        <f t="shared" si="6"/>
        <v>314343375.5286755</v>
      </c>
      <c r="I75" s="62">
        <v>0</v>
      </c>
      <c r="J75" s="62">
        <v>360000000</v>
      </c>
      <c r="K75" s="62">
        <f t="shared" si="7"/>
        <v>458879074.60985446</v>
      </c>
      <c r="L75" s="62">
        <f t="shared" si="8"/>
        <v>98879074.60985446</v>
      </c>
      <c r="M75" s="63">
        <v>98879074.281178951</v>
      </c>
      <c r="N75" s="63">
        <f t="shared" si="9"/>
        <v>0.32867550849914551</v>
      </c>
      <c r="O75" s="63"/>
      <c r="P75" s="71">
        <f t="shared" si="10"/>
        <v>0.21547958946248064</v>
      </c>
    </row>
    <row r="76" spans="1:16" x14ac:dyDescent="0.25">
      <c r="A76" s="69" t="s">
        <v>71</v>
      </c>
      <c r="B76" s="60" t="s">
        <v>79</v>
      </c>
      <c r="C76" s="61">
        <v>0</v>
      </c>
      <c r="D76" s="61">
        <v>213512384.11187077</v>
      </c>
      <c r="E76" s="61">
        <v>0</v>
      </c>
      <c r="F76" s="61">
        <v>586750597.22084272</v>
      </c>
      <c r="G76" s="62">
        <v>0</v>
      </c>
      <c r="H76" s="62">
        <f t="shared" si="6"/>
        <v>469400477.77667421</v>
      </c>
      <c r="I76" s="62">
        <v>326692308</v>
      </c>
      <c r="J76" s="62">
        <v>374014458</v>
      </c>
      <c r="K76" s="62">
        <f t="shared" si="7"/>
        <v>682912861.88854504</v>
      </c>
      <c r="L76" s="62">
        <f t="shared" si="8"/>
        <v>308898403.88854504</v>
      </c>
      <c r="M76" s="63">
        <v>308898403.60187078</v>
      </c>
      <c r="N76" s="63">
        <f t="shared" si="9"/>
        <v>0.28667426109313965</v>
      </c>
      <c r="O76" s="63"/>
      <c r="P76" s="70">
        <f t="shared" si="10"/>
        <v>0.45232477103200158</v>
      </c>
    </row>
    <row r="77" spans="1:16" x14ac:dyDescent="0.25">
      <c r="A77" s="69" t="s">
        <v>112</v>
      </c>
      <c r="B77" s="60" t="s">
        <v>119</v>
      </c>
      <c r="C77" s="61">
        <v>0</v>
      </c>
      <c r="D77" s="61">
        <v>250250964.68747228</v>
      </c>
      <c r="E77" s="61">
        <v>0</v>
      </c>
      <c r="F77" s="61">
        <v>678457127.07003701</v>
      </c>
      <c r="G77" s="62">
        <v>15225410</v>
      </c>
      <c r="H77" s="62">
        <f t="shared" si="6"/>
        <v>542765701.65602958</v>
      </c>
      <c r="I77" s="62">
        <v>265476375</v>
      </c>
      <c r="J77" s="62">
        <v>430250965</v>
      </c>
      <c r="K77" s="62">
        <f t="shared" si="7"/>
        <v>793016666.34350181</v>
      </c>
      <c r="L77" s="62">
        <f t="shared" si="8"/>
        <v>362765701.34350181</v>
      </c>
      <c r="M77" s="63">
        <v>362765700.80000031</v>
      </c>
      <c r="N77" s="63">
        <f t="shared" si="9"/>
        <v>0.54350149631500244</v>
      </c>
      <c r="O77" s="63"/>
      <c r="P77" s="70">
        <f t="shared" si="10"/>
        <v>0.45745028665812026</v>
      </c>
    </row>
    <row r="78" spans="1:16" x14ac:dyDescent="0.25">
      <c r="A78" s="69" t="s">
        <v>11</v>
      </c>
      <c r="B78" s="60" t="s">
        <v>18</v>
      </c>
      <c r="C78" s="61">
        <v>0</v>
      </c>
      <c r="D78" s="61">
        <v>276886435.60478336</v>
      </c>
      <c r="E78" s="61">
        <v>0</v>
      </c>
      <c r="F78" s="61">
        <v>768140995.58360016</v>
      </c>
      <c r="G78" s="62">
        <v>112950685</v>
      </c>
      <c r="H78" s="62">
        <f t="shared" si="6"/>
        <v>614512796.4668802</v>
      </c>
      <c r="I78" s="62">
        <v>389837120</v>
      </c>
      <c r="J78" s="62">
        <v>456886435</v>
      </c>
      <c r="K78" s="62">
        <f t="shared" si="7"/>
        <v>891399232.07166362</v>
      </c>
      <c r="L78" s="62">
        <f t="shared" si="8"/>
        <v>434512797.07166362</v>
      </c>
      <c r="M78" s="63">
        <v>434613788.32660735</v>
      </c>
      <c r="N78" s="63">
        <f t="shared" si="9"/>
        <v>-100991.25494372845</v>
      </c>
      <c r="O78" s="63" t="s">
        <v>233</v>
      </c>
      <c r="P78" s="70">
        <f t="shared" si="10"/>
        <v>0.48745027080832304</v>
      </c>
    </row>
    <row r="79" spans="1:16" ht="30" x14ac:dyDescent="0.25">
      <c r="A79" s="69" t="s">
        <v>112</v>
      </c>
      <c r="B79" s="60" t="s">
        <v>153</v>
      </c>
      <c r="C79" s="61">
        <v>0</v>
      </c>
      <c r="D79" s="61">
        <v>370968648.5919947</v>
      </c>
      <c r="E79" s="61">
        <v>0</v>
      </c>
      <c r="F79" s="61">
        <v>1031833005.4743315</v>
      </c>
      <c r="G79" s="62">
        <v>0</v>
      </c>
      <c r="H79" s="62">
        <f t="shared" si="6"/>
        <v>825466404.37946522</v>
      </c>
      <c r="I79" s="62">
        <v>370968649</v>
      </c>
      <c r="J79" s="62">
        <v>570968649</v>
      </c>
      <c r="K79" s="62">
        <f t="shared" si="7"/>
        <v>1196435052.9714599</v>
      </c>
      <c r="L79" s="62">
        <f t="shared" si="8"/>
        <v>625466403.97145987</v>
      </c>
      <c r="M79" s="63">
        <v>625466402.79199481</v>
      </c>
      <c r="N79" s="63">
        <f t="shared" si="9"/>
        <v>1.1794650554656982</v>
      </c>
      <c r="O79" s="63"/>
      <c r="P79" s="70">
        <f t="shared" si="10"/>
        <v>0.52277505780029998</v>
      </c>
    </row>
    <row r="80" spans="1:16" x14ac:dyDescent="0.25">
      <c r="A80" s="69" t="s">
        <v>101</v>
      </c>
      <c r="B80" s="60" t="s">
        <v>108</v>
      </c>
      <c r="C80" s="61">
        <v>0</v>
      </c>
      <c r="D80" s="61">
        <v>326900170.28238273</v>
      </c>
      <c r="E80" s="61">
        <v>0</v>
      </c>
      <c r="F80" s="61">
        <v>907632549.57439983</v>
      </c>
      <c r="G80" s="62">
        <v>0</v>
      </c>
      <c r="H80" s="62">
        <f t="shared" si="6"/>
        <v>726106039.65951991</v>
      </c>
      <c r="I80" s="62">
        <f>214857334+112117140</f>
        <v>326974474</v>
      </c>
      <c r="J80" s="62">
        <v>806974474</v>
      </c>
      <c r="K80" s="62">
        <f t="shared" si="7"/>
        <v>1053006209.9419026</v>
      </c>
      <c r="L80" s="62">
        <f t="shared" si="8"/>
        <v>246031735.94190264</v>
      </c>
      <c r="M80" s="63">
        <v>246031735.48238266</v>
      </c>
      <c r="N80" s="63">
        <f t="shared" si="9"/>
        <v>0.45951998233795166</v>
      </c>
      <c r="O80" s="63"/>
      <c r="P80" s="72">
        <f t="shared" si="10"/>
        <v>0.2336469943092519</v>
      </c>
    </row>
    <row r="81" spans="1:16" ht="90" x14ac:dyDescent="0.25">
      <c r="A81" s="69" t="s">
        <v>38</v>
      </c>
      <c r="B81" s="60" t="s">
        <v>43</v>
      </c>
      <c r="C81" s="61">
        <v>0</v>
      </c>
      <c r="D81" s="61">
        <v>163149913.23948371</v>
      </c>
      <c r="E81" s="61">
        <v>0</v>
      </c>
      <c r="F81" s="61">
        <v>443480595.20607841</v>
      </c>
      <c r="G81" s="62">
        <v>15000000</v>
      </c>
      <c r="H81" s="62">
        <f t="shared" si="6"/>
        <v>354784476.16486275</v>
      </c>
      <c r="I81" s="62">
        <v>160489931</v>
      </c>
      <c r="J81" s="62">
        <v>193149712</v>
      </c>
      <c r="K81" s="62">
        <f t="shared" si="7"/>
        <v>517934389.40434647</v>
      </c>
      <c r="L81" s="62">
        <f t="shared" si="8"/>
        <v>324784677.40434647</v>
      </c>
      <c r="M81" s="63">
        <v>311619666.43948376</v>
      </c>
      <c r="N81" s="63">
        <f t="shared" si="9"/>
        <v>13165010.964862704</v>
      </c>
      <c r="O81" s="63" t="s">
        <v>243</v>
      </c>
      <c r="P81" s="70">
        <f t="shared" si="10"/>
        <v>0.62707687314964167</v>
      </c>
    </row>
    <row r="82" spans="1:16" x14ac:dyDescent="0.25">
      <c r="A82" s="69" t="s">
        <v>25</v>
      </c>
      <c r="B82" s="60" t="s">
        <v>32</v>
      </c>
      <c r="C82" s="61">
        <v>0</v>
      </c>
      <c r="D82" s="61">
        <v>279390330.68360168</v>
      </c>
      <c r="E82" s="61">
        <v>0</v>
      </c>
      <c r="F82" s="61">
        <v>784231568.99407291</v>
      </c>
      <c r="G82" s="62">
        <v>0</v>
      </c>
      <c r="H82" s="62">
        <f t="shared" si="6"/>
        <v>627385255.19525838</v>
      </c>
      <c r="I82" s="62">
        <v>0</v>
      </c>
      <c r="J82" s="62">
        <v>268076000</v>
      </c>
      <c r="K82" s="62">
        <f t="shared" si="7"/>
        <v>906775585.87886</v>
      </c>
      <c r="L82" s="62">
        <f t="shared" si="8"/>
        <v>638699585.87886</v>
      </c>
      <c r="M82" s="63">
        <v>638699585.08360171</v>
      </c>
      <c r="N82" s="63">
        <f t="shared" si="9"/>
        <v>0.7952582836151123</v>
      </c>
      <c r="O82" s="63"/>
      <c r="P82" s="70">
        <f t="shared" si="10"/>
        <v>0.70436345643318476</v>
      </c>
    </row>
    <row r="83" spans="1:16" x14ac:dyDescent="0.25">
      <c r="A83" s="69" t="s">
        <v>82</v>
      </c>
      <c r="B83" s="60" t="s">
        <v>154</v>
      </c>
      <c r="C83" s="61">
        <v>0</v>
      </c>
      <c r="D83" s="61">
        <v>340378878.84579241</v>
      </c>
      <c r="E83" s="61">
        <v>0</v>
      </c>
      <c r="F83" s="61">
        <v>941597212.14389753</v>
      </c>
      <c r="G83" s="62">
        <v>255000000</v>
      </c>
      <c r="H83" s="62">
        <f t="shared" si="6"/>
        <v>753277769.71511805</v>
      </c>
      <c r="I83" s="62">
        <v>425000000</v>
      </c>
      <c r="J83" s="62">
        <v>515000000</v>
      </c>
      <c r="K83" s="62">
        <f t="shared" si="7"/>
        <v>1093656648.5609105</v>
      </c>
      <c r="L83" s="62">
        <f t="shared" si="8"/>
        <v>578656648.56091046</v>
      </c>
      <c r="M83" s="63">
        <v>578659222.42069006</v>
      </c>
      <c r="N83" s="63">
        <f t="shared" si="9"/>
        <v>-2573.8597795963287</v>
      </c>
      <c r="O83" s="63" t="s">
        <v>233</v>
      </c>
      <c r="P83" s="70">
        <f t="shared" si="10"/>
        <v>0.52910266610854195</v>
      </c>
    </row>
    <row r="84" spans="1:16" x14ac:dyDescent="0.25">
      <c r="A84" s="69" t="s">
        <v>25</v>
      </c>
      <c r="B84" s="60" t="s">
        <v>33</v>
      </c>
      <c r="C84" s="61">
        <v>0</v>
      </c>
      <c r="D84" s="61">
        <v>314963874.99245691</v>
      </c>
      <c r="E84" s="61">
        <v>0</v>
      </c>
      <c r="F84" s="61">
        <v>875291571.75009882</v>
      </c>
      <c r="G84" s="62">
        <v>0</v>
      </c>
      <c r="H84" s="62">
        <f t="shared" si="6"/>
        <v>700233257.40007913</v>
      </c>
      <c r="I84" s="62">
        <v>0</v>
      </c>
      <c r="J84" s="62">
        <v>240000000</v>
      </c>
      <c r="K84" s="62">
        <f t="shared" si="7"/>
        <v>1015197132.392536</v>
      </c>
      <c r="L84" s="62">
        <f t="shared" si="8"/>
        <v>775197132.39253604</v>
      </c>
      <c r="M84" s="63">
        <v>775197131.79245698</v>
      </c>
      <c r="N84" s="63">
        <f t="shared" si="9"/>
        <v>0.60007905960083008</v>
      </c>
      <c r="O84" s="63"/>
      <c r="P84" s="70">
        <f t="shared" si="10"/>
        <v>0.76359271284150787</v>
      </c>
    </row>
    <row r="85" spans="1:16" x14ac:dyDescent="0.25">
      <c r="A85" s="69" t="s">
        <v>0</v>
      </c>
      <c r="B85" s="60" t="s">
        <v>155</v>
      </c>
      <c r="C85" s="61">
        <v>238688163.15229252</v>
      </c>
      <c r="D85" s="61">
        <v>298055409.43232858</v>
      </c>
      <c r="E85" s="61">
        <v>312116473.99580336</v>
      </c>
      <c r="F85" s="61">
        <v>851680396.71865761</v>
      </c>
      <c r="G85" s="62">
        <v>0</v>
      </c>
      <c r="H85" s="62">
        <f t="shared" si="6"/>
        <v>931037496.57156873</v>
      </c>
      <c r="I85" s="62">
        <v>388556520</v>
      </c>
      <c r="J85" s="62">
        <v>704556520</v>
      </c>
      <c r="K85" s="62">
        <f t="shared" si="7"/>
        <v>1467781069.1561897</v>
      </c>
      <c r="L85" s="62">
        <f t="shared" si="8"/>
        <v>763224549.15618968</v>
      </c>
      <c r="M85" s="63">
        <v>785564697.37265587</v>
      </c>
      <c r="N85" s="63">
        <f t="shared" si="9"/>
        <v>-22340148.216466188</v>
      </c>
      <c r="O85" s="63" t="s">
        <v>233</v>
      </c>
      <c r="P85" s="70">
        <f t="shared" si="10"/>
        <v>0.51998527927258154</v>
      </c>
    </row>
    <row r="86" spans="1:16" ht="81.75" customHeight="1" x14ac:dyDescent="0.25">
      <c r="A86" s="69" t="s">
        <v>174</v>
      </c>
      <c r="B86" s="60" t="s">
        <v>67</v>
      </c>
      <c r="C86" s="61">
        <v>0</v>
      </c>
      <c r="D86" s="61">
        <v>564760500.76793325</v>
      </c>
      <c r="E86" s="61">
        <v>0</v>
      </c>
      <c r="F86" s="61">
        <v>1589800891.2663257</v>
      </c>
      <c r="G86" s="62">
        <v>0</v>
      </c>
      <c r="H86" s="62">
        <f t="shared" si="6"/>
        <v>1271840713.0130606</v>
      </c>
      <c r="I86" s="62">
        <v>1239266938</v>
      </c>
      <c r="J86" s="62">
        <v>1229806885</v>
      </c>
      <c r="K86" s="62">
        <f t="shared" si="7"/>
        <v>1836601213.7809939</v>
      </c>
      <c r="L86" s="62">
        <f t="shared" si="8"/>
        <v>606794328.78099394</v>
      </c>
      <c r="M86" s="63">
        <v>597334274.76793337</v>
      </c>
      <c r="N86" s="63">
        <f t="shared" si="9"/>
        <v>9460054.0130605698</v>
      </c>
      <c r="O86" s="63" t="s">
        <v>244</v>
      </c>
      <c r="P86" s="71">
        <f t="shared" si="10"/>
        <v>0.330389811477796</v>
      </c>
    </row>
    <row r="87" spans="1:16" x14ac:dyDescent="0.25">
      <c r="A87" s="69" t="s">
        <v>101</v>
      </c>
      <c r="B87" s="60" t="s">
        <v>109</v>
      </c>
      <c r="C87" s="61">
        <v>0</v>
      </c>
      <c r="D87" s="61">
        <v>486412397.68097776</v>
      </c>
      <c r="E87" s="61">
        <v>0</v>
      </c>
      <c r="F87" s="61">
        <v>1349210678.436877</v>
      </c>
      <c r="G87" s="62">
        <v>0</v>
      </c>
      <c r="H87" s="62">
        <f t="shared" si="6"/>
        <v>1079368542.7495017</v>
      </c>
      <c r="I87" s="62">
        <v>0</v>
      </c>
      <c r="J87" s="62">
        <v>524322150</v>
      </c>
      <c r="K87" s="62">
        <f t="shared" si="7"/>
        <v>1565780940.4304795</v>
      </c>
      <c r="L87" s="62">
        <f t="shared" si="8"/>
        <v>1041458790.4304795</v>
      </c>
      <c r="M87" s="63">
        <v>1041459875.3219757</v>
      </c>
      <c r="N87" s="63">
        <f t="shared" si="9"/>
        <v>-1084.891496181488</v>
      </c>
      <c r="O87" s="63"/>
      <c r="P87" s="70">
        <f t="shared" si="10"/>
        <v>0.66513697001839334</v>
      </c>
    </row>
    <row r="88" spans="1:16" x14ac:dyDescent="0.25">
      <c r="A88" s="69" t="s">
        <v>123</v>
      </c>
      <c r="B88" s="60" t="s">
        <v>129</v>
      </c>
      <c r="C88" s="61">
        <v>0</v>
      </c>
      <c r="D88" s="61">
        <v>331653262.7268123</v>
      </c>
      <c r="E88" s="61">
        <v>0</v>
      </c>
      <c r="F88" s="61">
        <v>932701606.36803377</v>
      </c>
      <c r="G88" s="62">
        <v>20000000</v>
      </c>
      <c r="H88" s="62">
        <f t="shared" si="6"/>
        <v>746161285.09442711</v>
      </c>
      <c r="I88" s="62">
        <v>351635263</v>
      </c>
      <c r="J88" s="62">
        <v>331635263</v>
      </c>
      <c r="K88" s="62">
        <f t="shared" si="7"/>
        <v>1077814547.8212395</v>
      </c>
      <c r="L88" s="62">
        <f t="shared" si="8"/>
        <v>746179284.82123947</v>
      </c>
      <c r="M88" s="63">
        <v>746179283.72681236</v>
      </c>
      <c r="N88" s="63">
        <f t="shared" si="9"/>
        <v>1.0944271087646484</v>
      </c>
      <c r="O88" s="63"/>
      <c r="P88" s="70">
        <f t="shared" si="10"/>
        <v>0.69230767605578536</v>
      </c>
    </row>
    <row r="89" spans="1:16" x14ac:dyDescent="0.25">
      <c r="A89" s="69" t="s">
        <v>174</v>
      </c>
      <c r="B89" s="60" t="s">
        <v>66</v>
      </c>
      <c r="C89" s="61">
        <v>0</v>
      </c>
      <c r="D89" s="61">
        <v>0</v>
      </c>
      <c r="E89" s="61">
        <v>0</v>
      </c>
      <c r="F89" s="61">
        <v>0</v>
      </c>
      <c r="G89" s="62">
        <v>0</v>
      </c>
      <c r="H89" s="62">
        <f t="shared" si="6"/>
        <v>0</v>
      </c>
      <c r="I89" s="62">
        <v>0</v>
      </c>
      <c r="J89" s="62">
        <v>0</v>
      </c>
      <c r="K89" s="62">
        <f t="shared" si="7"/>
        <v>0</v>
      </c>
      <c r="L89" s="62">
        <f t="shared" si="8"/>
        <v>0</v>
      </c>
      <c r="M89" s="63">
        <v>913997.47185511491</v>
      </c>
      <c r="N89" s="63">
        <f t="shared" si="9"/>
        <v>-913997.47185511491</v>
      </c>
      <c r="O89" s="63" t="s">
        <v>233</v>
      </c>
      <c r="P89" s="71" t="e">
        <f t="shared" si="10"/>
        <v>#DIV/0!</v>
      </c>
    </row>
    <row r="90" spans="1:16" x14ac:dyDescent="0.25">
      <c r="A90" s="69" t="s">
        <v>90</v>
      </c>
      <c r="B90" s="60" t="s">
        <v>97</v>
      </c>
      <c r="C90" s="61">
        <v>0</v>
      </c>
      <c r="D90" s="61">
        <v>352237475.26635021</v>
      </c>
      <c r="E90" s="61">
        <v>0</v>
      </c>
      <c r="F90" s="61">
        <v>995015435.61536467</v>
      </c>
      <c r="G90" s="62">
        <v>62059021</v>
      </c>
      <c r="H90" s="62">
        <f t="shared" si="6"/>
        <v>796012348.49229181</v>
      </c>
      <c r="I90" s="62">
        <v>1335733822</v>
      </c>
      <c r="J90" s="62">
        <v>1273674801</v>
      </c>
      <c r="K90" s="62">
        <f t="shared" si="7"/>
        <v>1148249823.758642</v>
      </c>
      <c r="L90" s="62">
        <f t="shared" si="8"/>
        <v>-125424977.24135804</v>
      </c>
      <c r="M90" s="63">
        <v>-125424777.73364973</v>
      </c>
      <c r="N90" s="63">
        <f t="shared" si="9"/>
        <v>-199.50770831108093</v>
      </c>
      <c r="O90" s="63"/>
      <c r="P90" s="71">
        <f t="shared" si="10"/>
        <v>-0.10923143609183948</v>
      </c>
    </row>
    <row r="91" spans="1:16" ht="45" x14ac:dyDescent="0.25">
      <c r="A91" s="69" t="s">
        <v>56</v>
      </c>
      <c r="B91" s="60" t="s">
        <v>63</v>
      </c>
      <c r="C91" s="61">
        <v>1931002.4626815447</v>
      </c>
      <c r="D91" s="61">
        <v>312059735.13603753</v>
      </c>
      <c r="E91" s="61">
        <v>5002765.8156373231</v>
      </c>
      <c r="F91" s="61">
        <v>879865444.30303168</v>
      </c>
      <c r="G91" s="62">
        <v>20985320</v>
      </c>
      <c r="H91" s="62">
        <f t="shared" si="6"/>
        <v>707894568.0949353</v>
      </c>
      <c r="I91" s="62">
        <v>108273000</v>
      </c>
      <c r="J91" s="62">
        <v>108273000</v>
      </c>
      <c r="K91" s="62">
        <f t="shared" si="7"/>
        <v>1021885305.6936543</v>
      </c>
      <c r="L91" s="62">
        <f t="shared" si="8"/>
        <v>913612305.6936543</v>
      </c>
      <c r="M91" s="63">
        <v>937991286.29353809</v>
      </c>
      <c r="N91" s="63">
        <f t="shared" si="9"/>
        <v>-24378980.599883795</v>
      </c>
      <c r="O91" s="63" t="s">
        <v>240</v>
      </c>
      <c r="P91" s="70">
        <f t="shared" si="10"/>
        <v>0.8940458391986521</v>
      </c>
    </row>
    <row r="92" spans="1:16" x14ac:dyDescent="0.25">
      <c r="A92" s="69" t="s">
        <v>0</v>
      </c>
      <c r="B92" s="60" t="s">
        <v>156</v>
      </c>
      <c r="C92" s="61">
        <v>33026136.748452008</v>
      </c>
      <c r="D92" s="61">
        <v>401887146.67411751</v>
      </c>
      <c r="E92" s="61">
        <v>29669804.431037236</v>
      </c>
      <c r="F92" s="61">
        <v>1132675806.7401607</v>
      </c>
      <c r="G92" s="62">
        <v>0</v>
      </c>
      <c r="H92" s="62">
        <f t="shared" si="6"/>
        <v>929876488.93695831</v>
      </c>
      <c r="I92" s="62">
        <v>0</v>
      </c>
      <c r="J92" s="62">
        <v>0</v>
      </c>
      <c r="K92" s="62">
        <f t="shared" si="7"/>
        <v>1364789772.3595278</v>
      </c>
      <c r="L92" s="62">
        <f t="shared" si="8"/>
        <v>1364789772.3595278</v>
      </c>
      <c r="M92" s="63">
        <v>1357134443.7241178</v>
      </c>
      <c r="N92" s="63">
        <f t="shared" si="9"/>
        <v>7655328.6354100704</v>
      </c>
      <c r="O92" s="63" t="s">
        <v>233</v>
      </c>
      <c r="P92" s="70">
        <f t="shared" si="10"/>
        <v>1</v>
      </c>
    </row>
    <row r="93" spans="1:16" x14ac:dyDescent="0.25">
      <c r="A93" s="69" t="s">
        <v>25</v>
      </c>
      <c r="B93" s="60" t="s">
        <v>34</v>
      </c>
      <c r="C93" s="61">
        <v>0</v>
      </c>
      <c r="D93" s="61">
        <v>225658012.95329931</v>
      </c>
      <c r="E93" s="61">
        <v>0</v>
      </c>
      <c r="F93" s="61">
        <v>625754611.9473598</v>
      </c>
      <c r="G93" s="62">
        <v>0</v>
      </c>
      <c r="H93" s="62">
        <f t="shared" si="6"/>
        <v>500603689.55788785</v>
      </c>
      <c r="I93" s="62">
        <v>0</v>
      </c>
      <c r="J93" s="62">
        <v>387824791</v>
      </c>
      <c r="K93" s="62">
        <f t="shared" si="7"/>
        <v>726261702.5111872</v>
      </c>
      <c r="L93" s="62">
        <f t="shared" si="8"/>
        <v>338436911.5111872</v>
      </c>
      <c r="M93" s="63">
        <v>338436910.75329947</v>
      </c>
      <c r="N93" s="63">
        <f t="shared" si="9"/>
        <v>0.75788772106170654</v>
      </c>
      <c r="O93" s="63"/>
      <c r="P93" s="70">
        <f t="shared" si="10"/>
        <v>0.46599856544958596</v>
      </c>
    </row>
    <row r="94" spans="1:16" x14ac:dyDescent="0.25">
      <c r="A94" s="69" t="s">
        <v>123</v>
      </c>
      <c r="B94" s="60" t="s">
        <v>130</v>
      </c>
      <c r="C94" s="61">
        <v>0</v>
      </c>
      <c r="D94" s="61">
        <v>360977789.99350899</v>
      </c>
      <c r="E94" s="61">
        <v>0</v>
      </c>
      <c r="F94" s="61">
        <v>1021141239.2545499</v>
      </c>
      <c r="G94" s="62">
        <v>0</v>
      </c>
      <c r="H94" s="62">
        <f t="shared" si="6"/>
        <v>816912991.40363991</v>
      </c>
      <c r="I94" s="62">
        <v>360977790</v>
      </c>
      <c r="J94" s="62">
        <v>360977790</v>
      </c>
      <c r="K94" s="62">
        <f t="shared" si="7"/>
        <v>1177890781.3971488</v>
      </c>
      <c r="L94" s="62">
        <f t="shared" si="8"/>
        <v>816912991.39714885</v>
      </c>
      <c r="M94" s="63">
        <v>816943505.12359166</v>
      </c>
      <c r="N94" s="63">
        <f t="shared" si="9"/>
        <v>-30513.726442813873</v>
      </c>
      <c r="O94" s="63" t="s">
        <v>233</v>
      </c>
      <c r="P94" s="70">
        <f t="shared" si="10"/>
        <v>0.69353882745238216</v>
      </c>
    </row>
    <row r="95" spans="1:16" x14ac:dyDescent="0.25">
      <c r="A95" s="69" t="s">
        <v>123</v>
      </c>
      <c r="B95" s="60" t="s">
        <v>131</v>
      </c>
      <c r="C95" s="61">
        <v>330199122.39855283</v>
      </c>
      <c r="D95" s="61">
        <v>225597643.61108926</v>
      </c>
      <c r="E95" s="61">
        <v>373749186.392721</v>
      </c>
      <c r="F95" s="61">
        <v>633311362.4325794</v>
      </c>
      <c r="G95" s="62">
        <v>0</v>
      </c>
      <c r="H95" s="62">
        <f t="shared" si="6"/>
        <v>805648439.06024039</v>
      </c>
      <c r="I95" s="62">
        <v>0</v>
      </c>
      <c r="J95" s="62">
        <v>772580551</v>
      </c>
      <c r="K95" s="62">
        <f t="shared" si="7"/>
        <v>1361445205.0698824</v>
      </c>
      <c r="L95" s="62">
        <f t="shared" si="8"/>
        <v>588864654.06988239</v>
      </c>
      <c r="M95" s="63">
        <v>596121219.037045</v>
      </c>
      <c r="N95" s="63">
        <f t="shared" si="9"/>
        <v>-7256564.9671626091</v>
      </c>
      <c r="O95" s="63" t="s">
        <v>233</v>
      </c>
      <c r="P95" s="70">
        <f t="shared" si="10"/>
        <v>0.43252908885132563</v>
      </c>
    </row>
    <row r="96" spans="1:16" ht="45" x14ac:dyDescent="0.25">
      <c r="A96" s="69" t="s">
        <v>90</v>
      </c>
      <c r="B96" s="60" t="s">
        <v>98</v>
      </c>
      <c r="C96" s="61">
        <v>47024.875</v>
      </c>
      <c r="D96" s="61">
        <v>402033820.8899098</v>
      </c>
      <c r="E96" s="61">
        <v>88383.581502021552</v>
      </c>
      <c r="F96" s="61">
        <v>1138462709.6936157</v>
      </c>
      <c r="G96" s="62">
        <v>0</v>
      </c>
      <c r="H96" s="62">
        <f t="shared" si="6"/>
        <v>910840874.62009418</v>
      </c>
      <c r="I96" s="62">
        <v>0</v>
      </c>
      <c r="J96" s="62">
        <v>60824791</v>
      </c>
      <c r="K96" s="62">
        <f t="shared" si="7"/>
        <v>1312921720.385004</v>
      </c>
      <c r="L96" s="62">
        <f t="shared" si="8"/>
        <v>1252096929.385004</v>
      </c>
      <c r="M96" s="63">
        <v>1282921718.5699098</v>
      </c>
      <c r="N96" s="63">
        <f t="shared" si="9"/>
        <v>-30824789.184905767</v>
      </c>
      <c r="O96" s="63" t="s">
        <v>246</v>
      </c>
      <c r="P96" s="70">
        <f t="shared" si="10"/>
        <v>0.9536721877202522</v>
      </c>
    </row>
    <row r="97" spans="1:16" x14ac:dyDescent="0.25">
      <c r="A97" s="69" t="s">
        <v>123</v>
      </c>
      <c r="B97" s="60" t="s">
        <v>132</v>
      </c>
      <c r="C97" s="61">
        <v>131308163.51254579</v>
      </c>
      <c r="D97" s="61">
        <v>279691383.29480898</v>
      </c>
      <c r="E97" s="61">
        <v>188094185.02742282</v>
      </c>
      <c r="F97" s="61">
        <v>783111575.19079709</v>
      </c>
      <c r="G97" s="62">
        <v>370984461</v>
      </c>
      <c r="H97" s="62">
        <f t="shared" si="6"/>
        <v>776964608.17457592</v>
      </c>
      <c r="I97" s="62">
        <v>781984008</v>
      </c>
      <c r="J97" s="62">
        <v>920387458</v>
      </c>
      <c r="K97" s="62">
        <f t="shared" si="7"/>
        <v>1187964154.9819307</v>
      </c>
      <c r="L97" s="62">
        <f t="shared" si="8"/>
        <v>267576696.98193073</v>
      </c>
      <c r="M97" s="63">
        <v>275163322.89159071</v>
      </c>
      <c r="N97" s="63">
        <f t="shared" si="9"/>
        <v>-7586625.9096599817</v>
      </c>
      <c r="O97" s="63" t="s">
        <v>233</v>
      </c>
      <c r="P97" s="71">
        <f t="shared" si="10"/>
        <v>0.22523970597917634</v>
      </c>
    </row>
    <row r="98" spans="1:16" x14ac:dyDescent="0.25">
      <c r="A98" s="69" t="s">
        <v>112</v>
      </c>
      <c r="B98" s="60" t="s">
        <v>121</v>
      </c>
      <c r="C98" s="61">
        <v>0</v>
      </c>
      <c r="D98" s="61">
        <v>274728280.44061852</v>
      </c>
      <c r="E98" s="61">
        <v>0</v>
      </c>
      <c r="F98" s="61">
        <v>771356939.98517859</v>
      </c>
      <c r="G98" s="62">
        <v>0</v>
      </c>
      <c r="H98" s="62">
        <f t="shared" si="6"/>
        <v>617085551.98814285</v>
      </c>
      <c r="I98" s="62">
        <v>274728280</v>
      </c>
      <c r="J98" s="62">
        <v>544728280</v>
      </c>
      <c r="K98" s="62">
        <f t="shared" si="7"/>
        <v>891813832.42876136</v>
      </c>
      <c r="L98" s="62">
        <f t="shared" si="8"/>
        <v>347085552.42876136</v>
      </c>
      <c r="M98" s="63">
        <v>347085551.64061856</v>
      </c>
      <c r="N98" s="63">
        <f t="shared" si="9"/>
        <v>0.78814280033111572</v>
      </c>
      <c r="O98" s="63"/>
      <c r="P98" s="71">
        <f t="shared" si="10"/>
        <v>0.3891905909145974</v>
      </c>
    </row>
    <row r="99" spans="1:16" x14ac:dyDescent="0.25">
      <c r="A99" s="69" t="s">
        <v>90</v>
      </c>
      <c r="B99" s="60" t="s">
        <v>99</v>
      </c>
      <c r="C99" s="61">
        <v>0</v>
      </c>
      <c r="D99" s="61">
        <v>383997439.74300468</v>
      </c>
      <c r="E99" s="61">
        <v>0</v>
      </c>
      <c r="F99" s="61">
        <v>1068881822.7820569</v>
      </c>
      <c r="G99" s="62">
        <v>0</v>
      </c>
      <c r="H99" s="62">
        <f t="shared" si="6"/>
        <v>855105458.22564554</v>
      </c>
      <c r="I99" s="62">
        <v>665015961</v>
      </c>
      <c r="J99" s="62">
        <v>712338111</v>
      </c>
      <c r="K99" s="62">
        <f t="shared" si="7"/>
        <v>1239102897.9686503</v>
      </c>
      <c r="L99" s="62">
        <f t="shared" si="8"/>
        <v>526764786.96865034</v>
      </c>
      <c r="M99" s="63">
        <v>526765371.3430047</v>
      </c>
      <c r="N99" s="63">
        <f t="shared" si="9"/>
        <v>-584.37435436248779</v>
      </c>
      <c r="O99" s="63"/>
      <c r="P99" s="70">
        <f t="shared" si="10"/>
        <v>0.42511787183470667</v>
      </c>
    </row>
    <row r="100" spans="1:16" ht="45" x14ac:dyDescent="0.25">
      <c r="A100" s="69" t="s">
        <v>101</v>
      </c>
      <c r="B100" s="60" t="s">
        <v>110</v>
      </c>
      <c r="C100" s="61">
        <v>0</v>
      </c>
      <c r="D100" s="61">
        <v>147750324.88154405</v>
      </c>
      <c r="E100" s="61">
        <v>0</v>
      </c>
      <c r="F100" s="61">
        <v>400911329.89334965</v>
      </c>
      <c r="G100" s="62">
        <v>0</v>
      </c>
      <c r="H100" s="62">
        <f t="shared" si="6"/>
        <v>320729063.91467971</v>
      </c>
      <c r="I100" s="62">
        <v>147750325</v>
      </c>
      <c r="J100" s="62">
        <v>443762757</v>
      </c>
      <c r="K100" s="62">
        <f t="shared" si="7"/>
        <v>468479388.79622376</v>
      </c>
      <c r="L100" s="62">
        <f t="shared" si="8"/>
        <v>24716631.79622376</v>
      </c>
      <c r="M100" s="63">
        <v>320729063.08154404</v>
      </c>
      <c r="N100" s="63">
        <f t="shared" si="9"/>
        <v>-296012431.28532028</v>
      </c>
      <c r="O100" s="63" t="s">
        <v>247</v>
      </c>
      <c r="P100" s="71">
        <f t="shared" si="10"/>
        <v>5.2759272632535915E-2</v>
      </c>
    </row>
    <row r="101" spans="1:16" x14ac:dyDescent="0.25">
      <c r="A101" s="69" t="s">
        <v>0</v>
      </c>
      <c r="B101" s="60" t="s">
        <v>6</v>
      </c>
      <c r="C101" s="61">
        <v>0</v>
      </c>
      <c r="D101" s="61">
        <v>167133879.36515903</v>
      </c>
      <c r="E101" s="61">
        <v>0</v>
      </c>
      <c r="F101" s="61">
        <v>461214624.64303488</v>
      </c>
      <c r="G101" s="62">
        <v>0</v>
      </c>
      <c r="H101" s="62">
        <f t="shared" si="6"/>
        <v>368971699.71442795</v>
      </c>
      <c r="I101" s="62">
        <v>0</v>
      </c>
      <c r="J101" s="62">
        <v>443711577</v>
      </c>
      <c r="K101" s="62">
        <f t="shared" si="7"/>
        <v>536105579.07958698</v>
      </c>
      <c r="L101" s="62">
        <f t="shared" si="8"/>
        <v>92394002.079586983</v>
      </c>
      <c r="M101" s="63">
        <v>92394001.565159082</v>
      </c>
      <c r="N101" s="63">
        <f t="shared" si="9"/>
        <v>0.51442790031433105</v>
      </c>
      <c r="O101" s="63"/>
      <c r="P101" s="71">
        <f t="shared" si="10"/>
        <v>0.17234292215017358</v>
      </c>
    </row>
    <row r="102" spans="1:16" x14ac:dyDescent="0.25">
      <c r="A102" s="69" t="s">
        <v>11</v>
      </c>
      <c r="B102" s="60" t="s">
        <v>19</v>
      </c>
      <c r="C102" s="61">
        <v>0</v>
      </c>
      <c r="D102" s="61">
        <v>492253613.29629487</v>
      </c>
      <c r="E102" s="61">
        <v>0</v>
      </c>
      <c r="F102" s="61">
        <v>1370840806.3975556</v>
      </c>
      <c r="G102" s="62">
        <v>0</v>
      </c>
      <c r="H102" s="62">
        <f t="shared" si="6"/>
        <v>1096672645.1180446</v>
      </c>
      <c r="I102" s="62">
        <v>0</v>
      </c>
      <c r="J102" s="62">
        <v>197322150</v>
      </c>
      <c r="K102" s="62">
        <f t="shared" si="7"/>
        <v>1588926258.4143395</v>
      </c>
      <c r="L102" s="62">
        <f t="shared" si="8"/>
        <v>1391604108.4143395</v>
      </c>
      <c r="M102" s="63">
        <v>1391604107.2962949</v>
      </c>
      <c r="N102" s="63">
        <f t="shared" si="9"/>
        <v>1.1180446147918701</v>
      </c>
      <c r="O102" s="63"/>
      <c r="P102" s="70">
        <f t="shared" si="10"/>
        <v>0.87581415502761184</v>
      </c>
    </row>
    <row r="103" spans="1:16" x14ac:dyDescent="0.25">
      <c r="A103" s="69" t="s">
        <v>90</v>
      </c>
      <c r="B103" s="60" t="s">
        <v>157</v>
      </c>
      <c r="C103" s="61">
        <v>630.64185519359705</v>
      </c>
      <c r="D103" s="61">
        <v>0</v>
      </c>
      <c r="E103" s="61">
        <v>0</v>
      </c>
      <c r="F103" s="61">
        <v>0</v>
      </c>
      <c r="G103" s="62">
        <v>0</v>
      </c>
      <c r="H103" s="62">
        <f t="shared" si="6"/>
        <v>0</v>
      </c>
      <c r="I103" s="62">
        <v>0</v>
      </c>
      <c r="J103" s="62">
        <v>0</v>
      </c>
      <c r="K103" s="62">
        <f t="shared" si="7"/>
        <v>630.64185519359705</v>
      </c>
      <c r="L103" s="62">
        <f t="shared" si="8"/>
        <v>630.64185519359705</v>
      </c>
      <c r="M103" s="63">
        <v>515061.19793898973</v>
      </c>
      <c r="N103" s="63">
        <f t="shared" si="9"/>
        <v>-514430.55608379614</v>
      </c>
      <c r="O103" s="63" t="s">
        <v>233</v>
      </c>
      <c r="P103" s="70">
        <f t="shared" si="10"/>
        <v>1</v>
      </c>
    </row>
    <row r="104" spans="1:16" x14ac:dyDescent="0.25">
      <c r="A104" s="69" t="s">
        <v>38</v>
      </c>
      <c r="B104" s="60" t="s">
        <v>44</v>
      </c>
      <c r="C104" s="61">
        <v>0</v>
      </c>
      <c r="D104" s="61">
        <v>140249531.34735876</v>
      </c>
      <c r="E104" s="61">
        <v>0</v>
      </c>
      <c r="F104" s="61">
        <v>378390900.30233639</v>
      </c>
      <c r="G104" s="62">
        <v>0</v>
      </c>
      <c r="H104" s="62">
        <f t="shared" si="6"/>
        <v>302712720.24186915</v>
      </c>
      <c r="I104" s="62">
        <v>440205000</v>
      </c>
      <c r="J104" s="62">
        <v>440205000</v>
      </c>
      <c r="K104" s="62">
        <f t="shared" si="7"/>
        <v>442962251.58922791</v>
      </c>
      <c r="L104" s="62">
        <f t="shared" si="8"/>
        <v>2757251.5892279148</v>
      </c>
      <c r="M104" s="63">
        <v>2757250.5473587513</v>
      </c>
      <c r="N104" s="63">
        <f t="shared" si="9"/>
        <v>1.0418691635131836</v>
      </c>
      <c r="O104" s="63"/>
      <c r="P104" s="71">
        <f t="shared" si="10"/>
        <v>6.2245746208297592E-3</v>
      </c>
    </row>
    <row r="105" spans="1:16" hidden="1" x14ac:dyDescent="0.25">
      <c r="A105" s="73"/>
      <c r="B105" s="64" t="s">
        <v>164</v>
      </c>
      <c r="C105" s="65"/>
      <c r="D105" s="65"/>
      <c r="E105" s="66"/>
      <c r="F105" s="67"/>
      <c r="G105" s="65"/>
      <c r="H105" s="65"/>
      <c r="I105" s="65"/>
      <c r="J105" s="66">
        <v>618413317</v>
      </c>
      <c r="K105" s="62">
        <f t="shared" si="7"/>
        <v>0</v>
      </c>
      <c r="L105" s="62">
        <f t="shared" si="8"/>
        <v>-618413317</v>
      </c>
      <c r="M105" s="63">
        <v>1206288547.2194619</v>
      </c>
      <c r="N105" s="63">
        <f t="shared" si="9"/>
        <v>-1824701864.2194619</v>
      </c>
      <c r="O105" s="63"/>
      <c r="P105" s="71" t="e">
        <f t="shared" si="10"/>
        <v>#DIV/0!</v>
      </c>
    </row>
    <row r="106" spans="1:16" x14ac:dyDescent="0.25">
      <c r="A106" s="69" t="s">
        <v>47</v>
      </c>
      <c r="B106" s="60" t="s">
        <v>55</v>
      </c>
      <c r="C106" s="61">
        <v>98793790.314736143</v>
      </c>
      <c r="D106" s="61">
        <v>338790943.87467194</v>
      </c>
      <c r="E106" s="61">
        <v>47018364.769146174</v>
      </c>
      <c r="F106" s="61">
        <v>905040346.00501251</v>
      </c>
      <c r="G106" s="62">
        <v>0</v>
      </c>
      <c r="H106" s="62">
        <f t="shared" ref="H106:H120" si="11">(E106+F106)*80%</f>
        <v>761646968.61932707</v>
      </c>
      <c r="I106" s="62">
        <v>0</v>
      </c>
      <c r="J106" s="62">
        <v>0</v>
      </c>
      <c r="K106" s="62">
        <f t="shared" si="7"/>
        <v>1199231702.8087351</v>
      </c>
      <c r="L106" s="62">
        <f t="shared" si="8"/>
        <v>1199231702.8087351</v>
      </c>
      <c r="M106" s="63">
        <v>1206288547.2194619</v>
      </c>
      <c r="N106" s="63">
        <f t="shared" si="9"/>
        <v>-7056844.4107267857</v>
      </c>
      <c r="O106" s="63" t="s">
        <v>233</v>
      </c>
      <c r="P106" s="70">
        <f t="shared" si="10"/>
        <v>1</v>
      </c>
    </row>
    <row r="107" spans="1:16" x14ac:dyDescent="0.25">
      <c r="A107" s="69" t="s">
        <v>71</v>
      </c>
      <c r="B107" s="60" t="s">
        <v>80</v>
      </c>
      <c r="C107" s="61">
        <v>15474.724508043308</v>
      </c>
      <c r="D107" s="61">
        <v>258464857.91873425</v>
      </c>
      <c r="E107" s="61">
        <v>0</v>
      </c>
      <c r="F107" s="61">
        <v>709029184.04287577</v>
      </c>
      <c r="G107" s="62">
        <v>0</v>
      </c>
      <c r="H107" s="62">
        <f t="shared" si="11"/>
        <v>567223347.23430061</v>
      </c>
      <c r="I107" s="62">
        <v>255848238</v>
      </c>
      <c r="J107" s="62">
        <v>487848238</v>
      </c>
      <c r="K107" s="62">
        <f t="shared" si="7"/>
        <v>825703679.87754297</v>
      </c>
      <c r="L107" s="62">
        <f t="shared" si="8"/>
        <v>337855441.87754297</v>
      </c>
      <c r="M107" s="63">
        <v>337846568.01873422</v>
      </c>
      <c r="N107" s="63">
        <f t="shared" si="9"/>
        <v>8873.8588087558746</v>
      </c>
      <c r="O107" s="63" t="s">
        <v>233</v>
      </c>
      <c r="P107" s="70">
        <f t="shared" si="10"/>
        <v>0.40917274575747203</v>
      </c>
    </row>
    <row r="108" spans="1:16" x14ac:dyDescent="0.25">
      <c r="A108" s="69" t="s">
        <v>71</v>
      </c>
      <c r="B108" s="60" t="s">
        <v>81</v>
      </c>
      <c r="C108" s="61">
        <v>0</v>
      </c>
      <c r="D108" s="61">
        <v>298258002.27876073</v>
      </c>
      <c r="E108" s="61">
        <v>0</v>
      </c>
      <c r="F108" s="61">
        <v>835821931.44937587</v>
      </c>
      <c r="G108" s="62">
        <v>0</v>
      </c>
      <c r="H108" s="62">
        <f t="shared" si="11"/>
        <v>668657545.15950072</v>
      </c>
      <c r="I108" s="62">
        <v>298000000</v>
      </c>
      <c r="J108" s="62">
        <v>298000000</v>
      </c>
      <c r="K108" s="62">
        <f t="shared" si="7"/>
        <v>966915547.43826151</v>
      </c>
      <c r="L108" s="62">
        <f t="shared" si="8"/>
        <v>668915547.43826151</v>
      </c>
      <c r="M108" s="63">
        <v>668923151.71917486</v>
      </c>
      <c r="N108" s="63">
        <f t="shared" si="9"/>
        <v>-7604.2809133529663</v>
      </c>
      <c r="O108" s="63" t="s">
        <v>233</v>
      </c>
      <c r="P108" s="70">
        <f t="shared" si="10"/>
        <v>0.69180348708889949</v>
      </c>
    </row>
    <row r="109" spans="1:16" x14ac:dyDescent="0.25">
      <c r="A109" s="69" t="s">
        <v>25</v>
      </c>
      <c r="B109" s="60" t="s">
        <v>159</v>
      </c>
      <c r="C109" s="61">
        <v>0</v>
      </c>
      <c r="D109" s="61">
        <v>152495724.87255925</v>
      </c>
      <c r="E109" s="61">
        <v>0</v>
      </c>
      <c r="F109" s="61">
        <v>414737126.8146857</v>
      </c>
      <c r="G109" s="62">
        <v>0</v>
      </c>
      <c r="H109" s="62">
        <f t="shared" si="11"/>
        <v>331789701.45174861</v>
      </c>
      <c r="I109" s="62">
        <v>483681412</v>
      </c>
      <c r="J109" s="62">
        <v>483681412</v>
      </c>
      <c r="K109" s="62">
        <f t="shared" si="7"/>
        <v>484285426.32430786</v>
      </c>
      <c r="L109" s="62">
        <f t="shared" si="8"/>
        <v>604014.32430785894</v>
      </c>
      <c r="M109" s="63">
        <v>604012.8725592494</v>
      </c>
      <c r="N109" s="63">
        <f t="shared" si="9"/>
        <v>1.4517486095428467</v>
      </c>
      <c r="O109" s="63"/>
      <c r="P109" s="71">
        <f t="shared" si="10"/>
        <v>1.2472279599497448E-3</v>
      </c>
    </row>
    <row r="110" spans="1:16" x14ac:dyDescent="0.25">
      <c r="A110" s="69" t="s">
        <v>101</v>
      </c>
      <c r="B110" s="60" t="s">
        <v>111</v>
      </c>
      <c r="C110" s="61">
        <v>0</v>
      </c>
      <c r="D110" s="61">
        <v>177663154.30325469</v>
      </c>
      <c r="E110" s="61">
        <v>0</v>
      </c>
      <c r="F110" s="61">
        <v>493034199.66132116</v>
      </c>
      <c r="G110" s="62">
        <v>0</v>
      </c>
      <c r="H110" s="62">
        <f t="shared" si="11"/>
        <v>394427359.72905695</v>
      </c>
      <c r="I110" s="62">
        <v>0</v>
      </c>
      <c r="J110" s="62">
        <v>247322150</v>
      </c>
      <c r="K110" s="62">
        <f t="shared" si="7"/>
        <v>572090514.03231168</v>
      </c>
      <c r="L110" s="62">
        <f t="shared" si="8"/>
        <v>324768364.03231168</v>
      </c>
      <c r="M110" s="63">
        <v>324768362.70325482</v>
      </c>
      <c r="N110" s="63">
        <f t="shared" si="9"/>
        <v>1.3290568590164185</v>
      </c>
      <c r="O110" s="63"/>
      <c r="P110" s="70">
        <f t="shared" si="10"/>
        <v>0.56768702865429566</v>
      </c>
    </row>
    <row r="111" spans="1:16" x14ac:dyDescent="0.25">
      <c r="A111" s="69" t="s">
        <v>25</v>
      </c>
      <c r="B111" s="60" t="s">
        <v>36</v>
      </c>
      <c r="C111" s="61">
        <v>0</v>
      </c>
      <c r="D111" s="61">
        <v>234575836.97521561</v>
      </c>
      <c r="E111" s="61">
        <v>0</v>
      </c>
      <c r="F111" s="61">
        <v>637271776.70904052</v>
      </c>
      <c r="G111" s="62">
        <v>0</v>
      </c>
      <c r="H111" s="62">
        <f t="shared" si="11"/>
        <v>509817421.36723244</v>
      </c>
      <c r="I111" s="62">
        <v>370487619</v>
      </c>
      <c r="J111" s="62">
        <v>682487619</v>
      </c>
      <c r="K111" s="62">
        <f t="shared" si="7"/>
        <v>744393258.342448</v>
      </c>
      <c r="L111" s="62">
        <f t="shared" si="8"/>
        <v>61905639.342447996</v>
      </c>
      <c r="M111" s="63">
        <v>61905638.775215626</v>
      </c>
      <c r="N111" s="63">
        <f t="shared" si="9"/>
        <v>0.56723237037658691</v>
      </c>
      <c r="O111" s="63"/>
      <c r="P111" s="71">
        <f t="shared" si="10"/>
        <v>8.3162547012172364E-2</v>
      </c>
    </row>
    <row r="112" spans="1:16" x14ac:dyDescent="0.25">
      <c r="A112" s="69" t="s">
        <v>82</v>
      </c>
      <c r="B112" s="60" t="s">
        <v>89</v>
      </c>
      <c r="C112" s="61">
        <v>0</v>
      </c>
      <c r="D112" s="61">
        <v>196899820.68228543</v>
      </c>
      <c r="E112" s="61">
        <v>0</v>
      </c>
      <c r="F112" s="61">
        <v>546167850.71442342</v>
      </c>
      <c r="G112" s="62">
        <v>0</v>
      </c>
      <c r="H112" s="62">
        <f t="shared" si="11"/>
        <v>436934280.57153875</v>
      </c>
      <c r="I112" s="62">
        <v>0</v>
      </c>
      <c r="J112" s="62">
        <v>270000000</v>
      </c>
      <c r="K112" s="62">
        <f t="shared" si="7"/>
        <v>633834101.25382423</v>
      </c>
      <c r="L112" s="62">
        <f t="shared" si="8"/>
        <v>363834101.25382423</v>
      </c>
      <c r="M112" s="63">
        <v>363895930.59823334</v>
      </c>
      <c r="N112" s="63">
        <f t="shared" si="9"/>
        <v>-61829.344409108162</v>
      </c>
      <c r="O112" s="63" t="s">
        <v>233</v>
      </c>
      <c r="P112" s="70">
        <f t="shared" si="10"/>
        <v>0.57402102621822138</v>
      </c>
    </row>
    <row r="113" spans="1:17" ht="30" x14ac:dyDescent="0.25">
      <c r="A113" s="69" t="s">
        <v>123</v>
      </c>
      <c r="B113" s="60" t="s">
        <v>158</v>
      </c>
      <c r="C113" s="61">
        <v>989630.31241876876</v>
      </c>
      <c r="D113" s="61">
        <v>637301942.8987993</v>
      </c>
      <c r="E113" s="61">
        <v>2157106.7732344102</v>
      </c>
      <c r="F113" s="61">
        <v>1773493164.6365395</v>
      </c>
      <c r="G113" s="62">
        <v>126000246</v>
      </c>
      <c r="H113" s="62">
        <f t="shared" si="11"/>
        <v>1420520217.1278191</v>
      </c>
      <c r="I113" s="62">
        <v>1363302189.066</v>
      </c>
      <c r="J113" s="62">
        <v>1465301943</v>
      </c>
      <c r="K113" s="62">
        <f t="shared" si="7"/>
        <v>2058811790.3390372</v>
      </c>
      <c r="L113" s="62">
        <f t="shared" si="8"/>
        <v>593509847.33903718</v>
      </c>
      <c r="M113" s="63">
        <v>595011167.27962017</v>
      </c>
      <c r="N113" s="63">
        <f t="shared" si="9"/>
        <v>-1501319.9405829906</v>
      </c>
      <c r="O113" s="63" t="s">
        <v>233</v>
      </c>
      <c r="P113" s="71">
        <f t="shared" si="10"/>
        <v>0.2882778552775338</v>
      </c>
    </row>
    <row r="114" spans="1:17" ht="45" x14ac:dyDescent="0.25">
      <c r="A114" s="69" t="s">
        <v>38</v>
      </c>
      <c r="B114" s="60" t="s">
        <v>160</v>
      </c>
      <c r="C114" s="61">
        <v>0</v>
      </c>
      <c r="D114" s="61">
        <v>66282522.455147721</v>
      </c>
      <c r="E114" s="61">
        <v>0</v>
      </c>
      <c r="F114" s="61">
        <v>180173512.36152226</v>
      </c>
      <c r="G114" s="62">
        <v>0</v>
      </c>
      <c r="H114" s="62">
        <f t="shared" si="11"/>
        <v>144138809.88921782</v>
      </c>
      <c r="I114" s="62">
        <v>66000000</v>
      </c>
      <c r="J114" s="62">
        <v>209420000</v>
      </c>
      <c r="K114" s="62">
        <f t="shared" si="7"/>
        <v>210421332.34436554</v>
      </c>
      <c r="L114" s="62">
        <f t="shared" si="8"/>
        <v>1001332.3443655372</v>
      </c>
      <c r="M114" s="63">
        <v>1331.255147755146</v>
      </c>
      <c r="N114" s="63">
        <f t="shared" si="9"/>
        <v>1000001.089217782</v>
      </c>
      <c r="O114" s="63" t="s">
        <v>240</v>
      </c>
      <c r="P114" s="71">
        <f t="shared" si="10"/>
        <v>4.7587016639872061E-3</v>
      </c>
    </row>
    <row r="115" spans="1:17" ht="30" x14ac:dyDescent="0.25">
      <c r="A115" s="69" t="s">
        <v>0</v>
      </c>
      <c r="B115" s="60" t="s">
        <v>161</v>
      </c>
      <c r="C115" s="61">
        <v>4542321.5726660592</v>
      </c>
      <c r="D115" s="61">
        <v>452797141.75054753</v>
      </c>
      <c r="E115" s="61">
        <v>3614289.7080544443</v>
      </c>
      <c r="F115" s="61">
        <v>1272992618.5618474</v>
      </c>
      <c r="G115" s="62">
        <v>0</v>
      </c>
      <c r="H115" s="62">
        <f t="shared" si="11"/>
        <v>1021285526.6159216</v>
      </c>
      <c r="I115" s="62">
        <v>0</v>
      </c>
      <c r="J115" s="62">
        <v>785792214</v>
      </c>
      <c r="K115" s="62">
        <f t="shared" si="7"/>
        <v>1478624989.9391353</v>
      </c>
      <c r="L115" s="62">
        <f t="shared" si="8"/>
        <v>692832775.93913531</v>
      </c>
      <c r="M115" s="63">
        <v>692495125.69054747</v>
      </c>
      <c r="N115" s="63">
        <f t="shared" si="9"/>
        <v>337650.24858784676</v>
      </c>
      <c r="O115" s="63" t="s">
        <v>248</v>
      </c>
      <c r="P115" s="70">
        <f t="shared" si="10"/>
        <v>0.46856557994982517</v>
      </c>
    </row>
    <row r="116" spans="1:17" x14ac:dyDescent="0.25">
      <c r="A116" s="69" t="s">
        <v>25</v>
      </c>
      <c r="B116" s="60" t="s">
        <v>37</v>
      </c>
      <c r="C116" s="61">
        <v>0</v>
      </c>
      <c r="D116" s="61">
        <v>496553306.85539991</v>
      </c>
      <c r="E116" s="61">
        <v>0</v>
      </c>
      <c r="F116" s="61">
        <v>1379322802.9120202</v>
      </c>
      <c r="G116" s="62">
        <v>0</v>
      </c>
      <c r="H116" s="62">
        <f t="shared" si="11"/>
        <v>1103458242.3296163</v>
      </c>
      <c r="I116" s="62">
        <v>0</v>
      </c>
      <c r="J116" s="62">
        <v>720000000</v>
      </c>
      <c r="K116" s="62">
        <f t="shared" si="7"/>
        <v>1600011549.1850162</v>
      </c>
      <c r="L116" s="62">
        <f t="shared" si="8"/>
        <v>880011549.18501616</v>
      </c>
      <c r="M116" s="63">
        <v>880094679.46988511</v>
      </c>
      <c r="N116" s="63">
        <f t="shared" si="9"/>
        <v>-83130.284868955612</v>
      </c>
      <c r="O116" s="63" t="s">
        <v>233</v>
      </c>
      <c r="P116" s="70">
        <f t="shared" si="10"/>
        <v>0.55000324818483959</v>
      </c>
    </row>
    <row r="117" spans="1:17" x14ac:dyDescent="0.25">
      <c r="A117" s="69" t="s">
        <v>112</v>
      </c>
      <c r="B117" s="60" t="s">
        <v>122</v>
      </c>
      <c r="C117" s="61">
        <v>0</v>
      </c>
      <c r="D117" s="61">
        <v>409329018.57982677</v>
      </c>
      <c r="E117" s="61">
        <v>0</v>
      </c>
      <c r="F117" s="61">
        <v>1109873508.2969561</v>
      </c>
      <c r="G117" s="62">
        <v>0</v>
      </c>
      <c r="H117" s="62">
        <f t="shared" si="11"/>
        <v>887898806.6375649</v>
      </c>
      <c r="I117" s="62">
        <v>0</v>
      </c>
      <c r="J117" s="62">
        <v>720000000</v>
      </c>
      <c r="K117" s="62">
        <f t="shared" si="7"/>
        <v>1297227825.2173917</v>
      </c>
      <c r="L117" s="62">
        <f t="shared" si="8"/>
        <v>577227825.21739173</v>
      </c>
      <c r="M117" s="63">
        <v>577227824.17982674</v>
      </c>
      <c r="N117" s="63">
        <f t="shared" si="9"/>
        <v>1.0375649929046631</v>
      </c>
      <c r="O117" s="63"/>
      <c r="P117" s="70">
        <f t="shared" si="10"/>
        <v>0.44497027738412787</v>
      </c>
    </row>
    <row r="118" spans="1:17" x14ac:dyDescent="0.25">
      <c r="A118" s="69" t="s">
        <v>38</v>
      </c>
      <c r="B118" s="60" t="s">
        <v>46</v>
      </c>
      <c r="C118" s="61">
        <v>0</v>
      </c>
      <c r="D118" s="61">
        <v>514003357.73647809</v>
      </c>
      <c r="E118" s="61">
        <v>0</v>
      </c>
      <c r="F118" s="61">
        <v>1401730172.4243686</v>
      </c>
      <c r="G118" s="62">
        <v>0</v>
      </c>
      <c r="H118" s="62">
        <f t="shared" si="11"/>
        <v>1121384137.9394948</v>
      </c>
      <c r="I118" s="62">
        <v>45500000</v>
      </c>
      <c r="J118" s="62">
        <v>65500000</v>
      </c>
      <c r="K118" s="62">
        <f t="shared" si="7"/>
        <v>1635387495.6759729</v>
      </c>
      <c r="L118" s="62">
        <f t="shared" si="8"/>
        <v>1569887495.6759729</v>
      </c>
      <c r="M118" s="63">
        <v>1569887494.5364783</v>
      </c>
      <c r="N118" s="63">
        <f t="shared" si="9"/>
        <v>1.1394946575164795</v>
      </c>
      <c r="O118" s="63"/>
      <c r="P118" s="70">
        <f t="shared" si="10"/>
        <v>0.95994833018279491</v>
      </c>
    </row>
    <row r="119" spans="1:17" x14ac:dyDescent="0.25">
      <c r="A119" s="69" t="s">
        <v>56</v>
      </c>
      <c r="B119" s="60" t="s">
        <v>64</v>
      </c>
      <c r="C119" s="61">
        <v>0</v>
      </c>
      <c r="D119" s="61">
        <v>229370390.89332244</v>
      </c>
      <c r="E119" s="61">
        <v>0</v>
      </c>
      <c r="F119" s="61">
        <v>641189236.63622606</v>
      </c>
      <c r="G119" s="62">
        <v>0</v>
      </c>
      <c r="H119" s="62">
        <f t="shared" si="11"/>
        <v>512951389.30898088</v>
      </c>
      <c r="I119" s="62">
        <v>0</v>
      </c>
      <c r="J119" s="62">
        <v>47322150</v>
      </c>
      <c r="K119" s="62">
        <f t="shared" si="7"/>
        <v>742321780.20230329</v>
      </c>
      <c r="L119" s="62">
        <f t="shared" si="8"/>
        <v>694999630.20230329</v>
      </c>
      <c r="M119" s="63">
        <v>694999629.69332242</v>
      </c>
      <c r="N119" s="63">
        <f t="shared" si="9"/>
        <v>0.50898087024688721</v>
      </c>
      <c r="O119" s="63"/>
      <c r="P119" s="70">
        <f t="shared" si="10"/>
        <v>0.93625116322586766</v>
      </c>
    </row>
    <row r="120" spans="1:17" ht="15.75" thickBot="1" x14ac:dyDescent="0.3">
      <c r="A120" s="74" t="s">
        <v>56</v>
      </c>
      <c r="B120" s="75" t="s">
        <v>100</v>
      </c>
      <c r="C120" s="76">
        <v>1160311115.6674049</v>
      </c>
      <c r="D120" s="76">
        <v>0</v>
      </c>
      <c r="E120" s="76">
        <v>410388634.86026967</v>
      </c>
      <c r="F120" s="76">
        <v>0</v>
      </c>
      <c r="G120" s="77">
        <v>0</v>
      </c>
      <c r="H120" s="77">
        <f t="shared" si="11"/>
        <v>328310907.88821578</v>
      </c>
      <c r="I120" s="77">
        <v>600000000</v>
      </c>
      <c r="J120" s="77">
        <v>600000000</v>
      </c>
      <c r="K120" s="77">
        <f t="shared" si="7"/>
        <v>1488622023.5556207</v>
      </c>
      <c r="L120" s="77">
        <f t="shared" si="8"/>
        <v>888622023.55562067</v>
      </c>
      <c r="M120" s="78">
        <v>888622022.87000012</v>
      </c>
      <c r="N120" s="78">
        <f t="shared" si="9"/>
        <v>0.68562054634094238</v>
      </c>
      <c r="O120" s="78"/>
      <c r="P120" s="79">
        <f t="shared" si="10"/>
        <v>0.59694268222172264</v>
      </c>
    </row>
    <row r="121" spans="1:17" x14ac:dyDescent="0.25">
      <c r="B121" s="58"/>
      <c r="C121" s="58"/>
      <c r="D121" s="58"/>
      <c r="E121" s="58"/>
      <c r="F121" s="58"/>
      <c r="G121" s="58"/>
      <c r="H121" s="58"/>
      <c r="I121" s="58"/>
      <c r="J121" s="57"/>
      <c r="K121" s="58"/>
      <c r="L121" s="57"/>
      <c r="M121" s="59"/>
      <c r="N121" s="59"/>
      <c r="O121" s="59"/>
      <c r="P121" s="59"/>
      <c r="Q121" s="58"/>
    </row>
    <row r="122" spans="1:17" x14ac:dyDescent="0.25">
      <c r="J122" s="57"/>
      <c r="L122" s="57"/>
      <c r="M122" s="3"/>
      <c r="N122" s="3"/>
      <c r="O122" s="3"/>
      <c r="P122" s="3"/>
    </row>
  </sheetData>
  <autoFilter ref="A3:M119">
    <sortState ref="A5:M120">
      <sortCondition ref="B3:B119"/>
    </sortState>
  </autoFilter>
  <mergeCells count="15">
    <mergeCell ref="P2:P3"/>
    <mergeCell ref="A1:P1"/>
    <mergeCell ref="N2:N3"/>
    <mergeCell ref="O2:O3"/>
    <mergeCell ref="L2:L3"/>
    <mergeCell ref="M2:M3"/>
    <mergeCell ref="A2:A3"/>
    <mergeCell ref="B2:B3"/>
    <mergeCell ref="C2:D2"/>
    <mergeCell ref="E2:F2"/>
    <mergeCell ref="G2:G3"/>
    <mergeCell ref="H2:H3"/>
    <mergeCell ref="I2:I3"/>
    <mergeCell ref="J2:J3"/>
    <mergeCell ref="K2:K3"/>
  </mergeCells>
  <pageMargins left="0.56999999999999995" right="0.51181102362204722" top="0.74803149606299213" bottom="0.74803149606299213" header="0.31496062992125984" footer="0.31496062992125984"/>
  <pageSetup scale="7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9"/>
  <sheetViews>
    <sheetView topLeftCell="E1" workbookViewId="0">
      <pane ySplit="3" topLeftCell="A7" activePane="bottomLeft" state="frozen"/>
      <selection pane="bottomLeft" activeCell="H10" sqref="H10"/>
    </sheetView>
  </sheetViews>
  <sheetFormatPr baseColWidth="10" defaultRowHeight="15" x14ac:dyDescent="0.25"/>
  <cols>
    <col min="2" max="2" width="23.5703125" customWidth="1"/>
    <col min="3" max="3" width="22.140625" customWidth="1"/>
    <col min="4" max="4" width="19" style="3" customWidth="1"/>
    <col min="5" max="5" width="19.28515625" style="3" customWidth="1"/>
    <col min="6" max="6" width="18.5703125" customWidth="1"/>
    <col min="7" max="7" width="17.7109375" customWidth="1"/>
    <col min="8" max="8" width="18" customWidth="1"/>
    <col min="9" max="9" width="12.140625" customWidth="1"/>
  </cols>
  <sheetData>
    <row r="1" spans="2:8" x14ac:dyDescent="0.25">
      <c r="D1"/>
      <c r="E1"/>
    </row>
    <row r="2" spans="2:8" x14ac:dyDescent="0.25">
      <c r="D2"/>
      <c r="E2"/>
    </row>
    <row r="3" spans="2:8" ht="30" x14ac:dyDescent="0.25">
      <c r="B3" t="s">
        <v>188</v>
      </c>
      <c r="C3" t="s">
        <v>166</v>
      </c>
      <c r="D3" s="2" t="s">
        <v>200</v>
      </c>
      <c r="E3" s="2" t="s">
        <v>201</v>
      </c>
    </row>
    <row r="4" spans="2:8" x14ac:dyDescent="0.25">
      <c r="B4" s="2" t="s">
        <v>179</v>
      </c>
      <c r="C4" t="s">
        <v>103</v>
      </c>
      <c r="D4" s="3">
        <v>52000000</v>
      </c>
      <c r="E4" s="3">
        <v>52000000</v>
      </c>
    </row>
    <row r="5" spans="2:8" x14ac:dyDescent="0.25">
      <c r="B5" s="2"/>
      <c r="C5" t="s">
        <v>116</v>
      </c>
      <c r="D5" s="3">
        <v>74803102</v>
      </c>
      <c r="E5" s="3">
        <v>74803102</v>
      </c>
    </row>
    <row r="6" spans="2:8" x14ac:dyDescent="0.25">
      <c r="B6" s="2"/>
      <c r="C6" t="s">
        <v>124</v>
      </c>
      <c r="D6" s="3">
        <v>89880000</v>
      </c>
      <c r="E6" s="3">
        <v>49880000</v>
      </c>
      <c r="G6" s="44" t="s">
        <v>218</v>
      </c>
      <c r="H6" s="44" t="s">
        <v>219</v>
      </c>
    </row>
    <row r="7" spans="2:8" ht="30" x14ac:dyDescent="0.25">
      <c r="B7" s="2"/>
      <c r="C7" t="s">
        <v>204</v>
      </c>
      <c r="D7" s="3">
        <v>150000000</v>
      </c>
      <c r="E7" s="3">
        <v>150000000</v>
      </c>
      <c r="G7" s="42" t="str">
        <f>B4</f>
        <v>DEPORTE Y RECREACION</v>
      </c>
      <c r="H7" s="43">
        <f>E13</f>
        <v>1126579869</v>
      </c>
    </row>
    <row r="8" spans="2:8" x14ac:dyDescent="0.25">
      <c r="B8" s="2"/>
      <c r="C8" t="s">
        <v>93</v>
      </c>
      <c r="D8" s="3">
        <v>139964006</v>
      </c>
      <c r="E8" s="3">
        <v>139964006</v>
      </c>
      <c r="G8" s="42" t="str">
        <f>B14</f>
        <v>TRASPORTE</v>
      </c>
      <c r="H8" s="43">
        <f>E51</f>
        <v>11585851818</v>
      </c>
    </row>
    <row r="9" spans="2:8" x14ac:dyDescent="0.25">
      <c r="B9" s="2"/>
      <c r="C9" t="s">
        <v>77</v>
      </c>
      <c r="D9" s="3">
        <v>218933214</v>
      </c>
      <c r="E9" s="3">
        <v>218933214</v>
      </c>
      <c r="G9" s="42" t="str">
        <f>B52</f>
        <v>AGRICOLA</v>
      </c>
      <c r="H9" s="43">
        <f>E56</f>
        <v>460075836</v>
      </c>
    </row>
    <row r="10" spans="2:8" ht="30" x14ac:dyDescent="0.25">
      <c r="B10" s="2"/>
      <c r="C10" t="s">
        <v>132</v>
      </c>
      <c r="D10" s="3">
        <v>410999547</v>
      </c>
      <c r="E10" s="3">
        <v>410999547</v>
      </c>
      <c r="G10" s="42" t="str">
        <f>B57</f>
        <v>EQUIPAMIENTO URBANO</v>
      </c>
      <c r="H10" s="43">
        <f>E64</f>
        <v>3109559385</v>
      </c>
    </row>
    <row r="11" spans="2:8" x14ac:dyDescent="0.25">
      <c r="B11" s="2"/>
      <c r="C11" t="s">
        <v>80</v>
      </c>
      <c r="D11" s="3">
        <v>16000000</v>
      </c>
      <c r="E11" s="3">
        <v>16000000</v>
      </c>
      <c r="G11" s="42" t="str">
        <f>B65</f>
        <v>VIVIENDA</v>
      </c>
      <c r="H11" s="43">
        <f>E81</f>
        <v>3714224118</v>
      </c>
    </row>
    <row r="12" spans="2:8" ht="45" x14ac:dyDescent="0.25">
      <c r="B12" s="2"/>
      <c r="C12" t="s">
        <v>80</v>
      </c>
      <c r="D12" s="3">
        <v>14000000</v>
      </c>
      <c r="E12" s="3">
        <v>14000000</v>
      </c>
      <c r="G12" s="42" t="str">
        <f>B82</f>
        <v>AGUA POTABLE Y SANEAMIENTO BASICO</v>
      </c>
      <c r="H12" s="43">
        <f>E88</f>
        <v>972569542</v>
      </c>
    </row>
    <row r="13" spans="2:8" x14ac:dyDescent="0.25">
      <c r="B13" s="2"/>
      <c r="D13" s="41">
        <f>SUM(D4:D12)</f>
        <v>1166579869</v>
      </c>
      <c r="E13" s="41">
        <f>SUM(E4:E12)</f>
        <v>1126579869</v>
      </c>
      <c r="G13" s="42" t="str">
        <f>B89</f>
        <v xml:space="preserve">SALUD </v>
      </c>
      <c r="H13" s="43">
        <f>E91</f>
        <v>543787500</v>
      </c>
    </row>
    <row r="14" spans="2:8" x14ac:dyDescent="0.25">
      <c r="B14" s="2" t="s">
        <v>180</v>
      </c>
      <c r="C14" t="s">
        <v>1</v>
      </c>
      <c r="D14" s="3">
        <v>1467235359</v>
      </c>
      <c r="E14" s="3">
        <v>1467235359</v>
      </c>
      <c r="G14" s="42" t="str">
        <f>B92</f>
        <v xml:space="preserve">MINAS Y ENERGIA </v>
      </c>
      <c r="H14" s="43">
        <f>E92</f>
        <v>73599934</v>
      </c>
    </row>
    <row r="15" spans="2:8" x14ac:dyDescent="0.25">
      <c r="B15" s="2"/>
      <c r="C15" t="s">
        <v>4</v>
      </c>
      <c r="D15" s="3">
        <v>388556520</v>
      </c>
      <c r="E15" s="3">
        <v>388556520</v>
      </c>
      <c r="G15" s="42" t="str">
        <f>B93</f>
        <v>EDUCACION</v>
      </c>
      <c r="H15" s="43">
        <f>E101</f>
        <v>2304782630</v>
      </c>
    </row>
    <row r="16" spans="2:8" x14ac:dyDescent="0.25">
      <c r="B16" s="2"/>
      <c r="C16" t="s">
        <v>12</v>
      </c>
      <c r="D16" s="3">
        <v>1232034880</v>
      </c>
      <c r="E16" s="3">
        <v>62500000</v>
      </c>
      <c r="G16" s="42" t="str">
        <f>B102</f>
        <v>CULTURA</v>
      </c>
      <c r="H16" s="43">
        <f>E108</f>
        <v>885848152</v>
      </c>
    </row>
    <row r="17" spans="2:10" ht="30" x14ac:dyDescent="0.25">
      <c r="B17" s="2"/>
      <c r="C17" t="s">
        <v>17</v>
      </c>
      <c r="D17" s="3">
        <v>414944522</v>
      </c>
      <c r="E17" s="3">
        <v>414944522</v>
      </c>
      <c r="G17" s="42" t="str">
        <f>B109</f>
        <v>INCLUSION SOCIAL Y RECONCILIACION</v>
      </c>
      <c r="H17" s="43">
        <f>E111</f>
        <v>702099929</v>
      </c>
    </row>
    <row r="18" spans="2:10" x14ac:dyDescent="0.25">
      <c r="B18" s="2"/>
      <c r="C18" t="s">
        <v>115</v>
      </c>
      <c r="D18" s="3">
        <v>339228053</v>
      </c>
      <c r="E18" s="3">
        <v>339228053</v>
      </c>
    </row>
    <row r="19" spans="2:10" x14ac:dyDescent="0.25">
      <c r="B19" s="2"/>
      <c r="C19" t="s">
        <v>148</v>
      </c>
      <c r="D19" s="3">
        <v>298167802</v>
      </c>
      <c r="E19" s="3">
        <v>298167802</v>
      </c>
      <c r="G19" s="44" t="s">
        <v>218</v>
      </c>
      <c r="H19" s="44" t="s">
        <v>219</v>
      </c>
      <c r="I19" s="44" t="s">
        <v>225</v>
      </c>
      <c r="J19" s="50" t="s">
        <v>226</v>
      </c>
    </row>
    <row r="20" spans="2:10" x14ac:dyDescent="0.25">
      <c r="B20" s="2"/>
      <c r="C20" t="s">
        <v>73</v>
      </c>
      <c r="D20" s="3">
        <v>298017079</v>
      </c>
      <c r="E20" s="3">
        <v>298017079</v>
      </c>
      <c r="G20" s="42" t="s">
        <v>193</v>
      </c>
      <c r="H20" s="43">
        <v>11586</v>
      </c>
      <c r="I20" s="46">
        <f>H20/H31</f>
        <v>0.45474527042939006</v>
      </c>
      <c r="J20" s="45">
        <v>36</v>
      </c>
    </row>
    <row r="21" spans="2:10" x14ac:dyDescent="0.25">
      <c r="B21" s="2"/>
      <c r="C21" t="s">
        <v>205</v>
      </c>
      <c r="D21" s="3">
        <v>540736628</v>
      </c>
      <c r="E21" s="3">
        <v>540736628</v>
      </c>
      <c r="G21" s="45" t="s">
        <v>189</v>
      </c>
      <c r="H21" s="43">
        <v>3714</v>
      </c>
      <c r="I21" s="46">
        <f>H21/H31</f>
        <v>0.14577282361252847</v>
      </c>
      <c r="J21" s="45">
        <v>15</v>
      </c>
    </row>
    <row r="22" spans="2:10" x14ac:dyDescent="0.25">
      <c r="B22" s="2"/>
      <c r="C22" t="s">
        <v>76</v>
      </c>
      <c r="D22" s="3">
        <v>221000000</v>
      </c>
      <c r="E22" s="3">
        <v>221000000</v>
      </c>
      <c r="G22" s="45" t="s">
        <v>221</v>
      </c>
      <c r="H22" s="43">
        <v>3109</v>
      </c>
      <c r="I22" s="46">
        <f>H22/H31</f>
        <v>0.12202684669126306</v>
      </c>
      <c r="J22" s="45">
        <v>7</v>
      </c>
    </row>
    <row r="23" spans="2:10" x14ac:dyDescent="0.25">
      <c r="B23" s="2"/>
      <c r="C23" t="s">
        <v>105</v>
      </c>
      <c r="D23" s="3">
        <v>238225448</v>
      </c>
      <c r="E23" s="3">
        <v>238225488</v>
      </c>
      <c r="G23" s="45" t="s">
        <v>185</v>
      </c>
      <c r="H23" s="43">
        <v>2305</v>
      </c>
      <c r="I23" s="46">
        <f>H23/H31</f>
        <v>9.0470209592589682E-2</v>
      </c>
      <c r="J23" s="45">
        <v>8</v>
      </c>
    </row>
    <row r="24" spans="2:10" x14ac:dyDescent="0.25">
      <c r="B24" s="2"/>
      <c r="C24" t="s">
        <v>207</v>
      </c>
      <c r="D24" s="3">
        <v>100000000</v>
      </c>
      <c r="E24" s="3">
        <v>100000000</v>
      </c>
      <c r="G24" s="45" t="s">
        <v>222</v>
      </c>
      <c r="H24" s="43">
        <v>1126</v>
      </c>
      <c r="I24" s="46">
        <f>H24/H31</f>
        <v>4.4194991757594788E-2</v>
      </c>
      <c r="J24" s="45">
        <v>9</v>
      </c>
    </row>
    <row r="25" spans="2:10" x14ac:dyDescent="0.25">
      <c r="B25" s="2"/>
      <c r="C25" t="s">
        <v>208</v>
      </c>
      <c r="D25" s="3">
        <v>238000633</v>
      </c>
      <c r="E25" s="3">
        <v>238000633</v>
      </c>
      <c r="G25" s="45" t="s">
        <v>190</v>
      </c>
      <c r="H25" s="43">
        <v>972</v>
      </c>
      <c r="I25" s="46">
        <f>H25/H31</f>
        <v>3.8150561268545415E-2</v>
      </c>
      <c r="J25" s="45">
        <v>6</v>
      </c>
    </row>
    <row r="26" spans="2:10" x14ac:dyDescent="0.25">
      <c r="B26" s="2"/>
      <c r="C26" t="s">
        <v>209</v>
      </c>
      <c r="D26" s="3">
        <v>110819017</v>
      </c>
      <c r="E26" s="3">
        <v>110819017</v>
      </c>
      <c r="G26" s="45" t="s">
        <v>186</v>
      </c>
      <c r="H26" s="43">
        <v>886</v>
      </c>
      <c r="I26" s="46">
        <f>H26/H31</f>
        <v>3.4775100086349008E-2</v>
      </c>
      <c r="J26" s="45">
        <v>6</v>
      </c>
    </row>
    <row r="27" spans="2:10" x14ac:dyDescent="0.25">
      <c r="B27" s="2"/>
      <c r="C27" t="s">
        <v>54</v>
      </c>
      <c r="D27" s="3">
        <v>488476377</v>
      </c>
      <c r="E27" s="3">
        <v>427000000</v>
      </c>
      <c r="G27" s="45" t="s">
        <v>223</v>
      </c>
      <c r="H27" s="43">
        <v>702</v>
      </c>
      <c r="I27" s="46">
        <f>H27/H31</f>
        <v>2.7553183138393909E-2</v>
      </c>
      <c r="J27" s="45">
        <v>2</v>
      </c>
    </row>
    <row r="28" spans="2:10" x14ac:dyDescent="0.25">
      <c r="B28" s="2"/>
      <c r="C28" t="s">
        <v>118</v>
      </c>
      <c r="D28" s="3">
        <v>571091167</v>
      </c>
      <c r="E28" s="3">
        <v>571091167</v>
      </c>
      <c r="G28" s="45" t="s">
        <v>224</v>
      </c>
      <c r="H28" s="43">
        <v>544</v>
      </c>
      <c r="I28" s="46">
        <f>H28/H31</f>
        <v>2.1351754454823769E-2</v>
      </c>
      <c r="J28" s="45">
        <v>2</v>
      </c>
    </row>
    <row r="29" spans="2:10" x14ac:dyDescent="0.25">
      <c r="B29" s="2"/>
      <c r="C29" t="s">
        <v>40</v>
      </c>
      <c r="D29" s="3">
        <v>320605346</v>
      </c>
      <c r="E29" s="3">
        <v>320605346</v>
      </c>
      <c r="G29" s="45" t="s">
        <v>181</v>
      </c>
      <c r="H29" s="43">
        <v>461</v>
      </c>
      <c r="I29" s="46">
        <f>H29/H31</f>
        <v>1.8094041918517937E-2</v>
      </c>
      <c r="J29" s="45">
        <v>4</v>
      </c>
    </row>
    <row r="30" spans="2:10" x14ac:dyDescent="0.25">
      <c r="B30" s="2"/>
      <c r="C30" t="s">
        <v>30</v>
      </c>
      <c r="D30" s="3">
        <v>147840000</v>
      </c>
      <c r="E30" s="3">
        <v>147840000</v>
      </c>
      <c r="G30" s="45" t="s">
        <v>191</v>
      </c>
      <c r="H30" s="43">
        <v>73</v>
      </c>
      <c r="I30" s="46">
        <f>H30/H31</f>
        <v>2.8652170500039248E-3</v>
      </c>
      <c r="J30" s="45">
        <v>1</v>
      </c>
    </row>
    <row r="31" spans="2:10" x14ac:dyDescent="0.25">
      <c r="B31" s="2"/>
      <c r="C31" t="s">
        <v>30</v>
      </c>
      <c r="D31" s="3">
        <v>105105158</v>
      </c>
      <c r="E31" s="3">
        <v>105105158</v>
      </c>
      <c r="G31" s="47" t="s">
        <v>164</v>
      </c>
      <c r="H31" s="43">
        <f>SUM(H20:H30)</f>
        <v>25478</v>
      </c>
      <c r="I31" s="48">
        <f>SUM(I20:I30)</f>
        <v>1</v>
      </c>
      <c r="J31" s="45">
        <f>SUM(J20:J30)</f>
        <v>96</v>
      </c>
    </row>
    <row r="32" spans="2:10" x14ac:dyDescent="0.25">
      <c r="B32" s="2"/>
      <c r="C32" t="s">
        <v>41</v>
      </c>
      <c r="D32" s="3">
        <v>319062378</v>
      </c>
      <c r="E32" s="3">
        <v>319062378</v>
      </c>
    </row>
    <row r="33" spans="2:8" x14ac:dyDescent="0.25">
      <c r="B33" s="2"/>
      <c r="C33" t="s">
        <v>210</v>
      </c>
      <c r="D33" s="3">
        <v>77473357</v>
      </c>
      <c r="E33" s="3">
        <v>77473357</v>
      </c>
      <c r="H33" s="49">
        <v>25478998713</v>
      </c>
    </row>
    <row r="34" spans="2:8" x14ac:dyDescent="0.25">
      <c r="B34" s="2"/>
      <c r="C34" t="s">
        <v>210</v>
      </c>
      <c r="D34" s="3">
        <v>160000000</v>
      </c>
      <c r="E34" s="3">
        <v>160000000</v>
      </c>
    </row>
    <row r="35" spans="2:8" x14ac:dyDescent="0.25">
      <c r="B35" s="2"/>
      <c r="C35" t="s">
        <v>79</v>
      </c>
      <c r="D35" s="3">
        <v>326692308</v>
      </c>
      <c r="E35" s="3">
        <v>326692308</v>
      </c>
    </row>
    <row r="36" spans="2:8" x14ac:dyDescent="0.25">
      <c r="B36" s="2"/>
      <c r="C36" t="s">
        <v>120</v>
      </c>
      <c r="D36" s="3">
        <v>370968649</v>
      </c>
      <c r="E36" s="3">
        <v>370968649</v>
      </c>
    </row>
    <row r="37" spans="2:8" x14ac:dyDescent="0.25">
      <c r="B37" s="2"/>
      <c r="C37" t="s">
        <v>108</v>
      </c>
      <c r="D37" s="3">
        <v>214857334</v>
      </c>
      <c r="E37" s="3">
        <v>214857334</v>
      </c>
    </row>
    <row r="38" spans="2:8" x14ac:dyDescent="0.25">
      <c r="B38" s="2"/>
      <c r="C38" t="s">
        <v>108</v>
      </c>
      <c r="D38" s="3">
        <v>112117140</v>
      </c>
      <c r="E38" s="3">
        <v>112117140</v>
      </c>
    </row>
    <row r="39" spans="2:8" x14ac:dyDescent="0.25">
      <c r="B39" s="2"/>
      <c r="C39" t="s">
        <v>43</v>
      </c>
      <c r="D39" s="3">
        <v>145489931</v>
      </c>
      <c r="E39" s="3">
        <v>145489931</v>
      </c>
    </row>
    <row r="40" spans="2:8" x14ac:dyDescent="0.25">
      <c r="B40" s="2"/>
      <c r="C40" t="s">
        <v>4</v>
      </c>
      <c r="D40" s="3">
        <v>388556520</v>
      </c>
      <c r="E40" s="3">
        <v>388556520</v>
      </c>
    </row>
    <row r="41" spans="2:8" x14ac:dyDescent="0.25">
      <c r="B41" s="2"/>
      <c r="C41" t="s">
        <v>129</v>
      </c>
      <c r="D41" s="3">
        <v>231635263</v>
      </c>
      <c r="E41" s="3">
        <v>231635263</v>
      </c>
    </row>
    <row r="42" spans="2:8" x14ac:dyDescent="0.25">
      <c r="B42" s="2"/>
      <c r="C42" t="s">
        <v>130</v>
      </c>
      <c r="D42" s="3">
        <v>360977790</v>
      </c>
      <c r="E42" s="3">
        <v>360977790</v>
      </c>
    </row>
    <row r="43" spans="2:8" x14ac:dyDescent="0.25">
      <c r="B43" s="2"/>
      <c r="C43" t="s">
        <v>214</v>
      </c>
      <c r="D43" s="3">
        <v>140205000</v>
      </c>
      <c r="E43" s="3">
        <v>140205000</v>
      </c>
    </row>
    <row r="44" spans="2:8" x14ac:dyDescent="0.25">
      <c r="B44" s="2"/>
      <c r="C44" t="s">
        <v>214</v>
      </c>
      <c r="D44" s="3">
        <v>300000000</v>
      </c>
      <c r="E44" s="3">
        <v>300000000</v>
      </c>
    </row>
    <row r="45" spans="2:8" x14ac:dyDescent="0.25">
      <c r="B45" s="2"/>
      <c r="C45" t="s">
        <v>80</v>
      </c>
      <c r="D45" s="3">
        <v>225848238</v>
      </c>
      <c r="E45" s="3">
        <v>225848238</v>
      </c>
    </row>
    <row r="46" spans="2:8" x14ac:dyDescent="0.25">
      <c r="B46" s="2"/>
      <c r="C46" t="s">
        <v>35</v>
      </c>
      <c r="D46" s="3">
        <v>483681412</v>
      </c>
      <c r="E46" s="3">
        <v>483681412</v>
      </c>
    </row>
    <row r="47" spans="2:8" x14ac:dyDescent="0.25">
      <c r="B47" s="2"/>
      <c r="C47" t="s">
        <v>36</v>
      </c>
      <c r="D47" s="3">
        <v>135911783</v>
      </c>
      <c r="E47" s="3">
        <v>135911783</v>
      </c>
    </row>
    <row r="48" spans="2:8" x14ac:dyDescent="0.25">
      <c r="B48" s="2"/>
      <c r="C48" t="s">
        <v>215</v>
      </c>
      <c r="D48" s="3">
        <v>663000123</v>
      </c>
      <c r="E48" s="3">
        <v>600000000</v>
      </c>
    </row>
    <row r="49" spans="2:5" x14ac:dyDescent="0.25">
      <c r="B49" s="2"/>
      <c r="C49" t="s">
        <v>215</v>
      </c>
      <c r="D49" s="3">
        <v>700302066</v>
      </c>
      <c r="E49" s="3">
        <v>637301943</v>
      </c>
    </row>
    <row r="50" spans="2:5" x14ac:dyDescent="0.25">
      <c r="B50" s="2"/>
      <c r="C50" t="s">
        <v>45</v>
      </c>
      <c r="D50" s="3">
        <v>66000000</v>
      </c>
      <c r="E50" s="3">
        <v>66000000</v>
      </c>
    </row>
    <row r="51" spans="2:5" x14ac:dyDescent="0.25">
      <c r="B51" s="2"/>
      <c r="D51" s="41">
        <f>SUM(D14:D50)</f>
        <v>12942863281</v>
      </c>
      <c r="E51" s="41">
        <f>SUM(E14:E50)</f>
        <v>11585851818</v>
      </c>
    </row>
    <row r="52" spans="2:5" x14ac:dyDescent="0.25">
      <c r="B52" s="2" t="s">
        <v>181</v>
      </c>
      <c r="C52" t="s">
        <v>103</v>
      </c>
      <c r="D52" s="3">
        <v>87500000</v>
      </c>
      <c r="E52" s="3">
        <f>D52</f>
        <v>87500000</v>
      </c>
    </row>
    <row r="53" spans="2:5" x14ac:dyDescent="0.25">
      <c r="B53" s="2"/>
      <c r="C53" t="s">
        <v>41</v>
      </c>
      <c r="D53" s="3">
        <v>40000000</v>
      </c>
      <c r="E53" s="3">
        <v>40000000</v>
      </c>
    </row>
    <row r="54" spans="2:5" x14ac:dyDescent="0.25">
      <c r="B54" s="2"/>
      <c r="C54" t="s">
        <v>81</v>
      </c>
      <c r="D54" s="3">
        <v>98000000</v>
      </c>
      <c r="E54" s="3">
        <v>98000000</v>
      </c>
    </row>
    <row r="55" spans="2:5" x14ac:dyDescent="0.25">
      <c r="B55" s="2"/>
      <c r="C55" t="s">
        <v>36</v>
      </c>
      <c r="D55" s="3">
        <v>234575836</v>
      </c>
      <c r="E55" s="3">
        <v>234575836</v>
      </c>
    </row>
    <row r="56" spans="2:5" x14ac:dyDescent="0.25">
      <c r="B56" s="2"/>
      <c r="D56" s="41">
        <f>SUM(D52:D55)</f>
        <v>460075836</v>
      </c>
      <c r="E56" s="41">
        <f>SUM(E52:E55)</f>
        <v>460075836</v>
      </c>
    </row>
    <row r="57" spans="2:5" x14ac:dyDescent="0.25">
      <c r="B57" s="2" t="s">
        <v>182</v>
      </c>
      <c r="C57" t="s">
        <v>18</v>
      </c>
      <c r="D57" s="3">
        <v>389837120</v>
      </c>
      <c r="E57" s="3">
        <v>276886435</v>
      </c>
    </row>
    <row r="58" spans="2:5" x14ac:dyDescent="0.25">
      <c r="B58" s="2"/>
      <c r="C58" t="s">
        <v>151</v>
      </c>
      <c r="D58" s="3">
        <v>246999525</v>
      </c>
      <c r="E58" s="3">
        <v>246999525</v>
      </c>
    </row>
    <row r="59" spans="2:5" x14ac:dyDescent="0.25">
      <c r="B59" s="2"/>
      <c r="C59" t="s">
        <v>207</v>
      </c>
      <c r="D59" s="3">
        <v>1029892065</v>
      </c>
      <c r="E59" s="3">
        <v>1029612855</v>
      </c>
    </row>
    <row r="60" spans="2:5" x14ac:dyDescent="0.25">
      <c r="B60" s="2"/>
      <c r="C60" t="s">
        <v>106</v>
      </c>
      <c r="D60" s="3">
        <v>171293632</v>
      </c>
      <c r="E60" s="3">
        <v>171293632</v>
      </c>
    </row>
    <row r="61" spans="2:5" x14ac:dyDescent="0.25">
      <c r="B61" s="2"/>
      <c r="C61" t="s">
        <v>212</v>
      </c>
      <c r="D61" s="3">
        <v>1239266938</v>
      </c>
      <c r="E61" s="3">
        <v>1239266938</v>
      </c>
    </row>
    <row r="62" spans="2:5" x14ac:dyDescent="0.25">
      <c r="B62" s="2"/>
      <c r="C62" t="s">
        <v>129</v>
      </c>
      <c r="D62" s="3">
        <v>100000000</v>
      </c>
      <c r="E62" s="3">
        <v>100000000</v>
      </c>
    </row>
    <row r="63" spans="2:5" x14ac:dyDescent="0.25">
      <c r="B63" s="2"/>
      <c r="C63" t="s">
        <v>216</v>
      </c>
      <c r="D63" s="3">
        <v>45500000</v>
      </c>
      <c r="E63" s="3">
        <v>45500000</v>
      </c>
    </row>
    <row r="64" spans="2:5" x14ac:dyDescent="0.25">
      <c r="B64" s="2"/>
      <c r="D64" s="41">
        <f>SUM(D57:D63)</f>
        <v>3222789280</v>
      </c>
      <c r="E64" s="41">
        <f>SUM(E57:E63)</f>
        <v>3109559385</v>
      </c>
    </row>
    <row r="65" spans="2:5" x14ac:dyDescent="0.25">
      <c r="B65" s="2" t="s">
        <v>189</v>
      </c>
      <c r="C65" t="s">
        <v>202</v>
      </c>
      <c r="D65" s="3">
        <v>214965637</v>
      </c>
      <c r="E65" s="3">
        <v>85965637</v>
      </c>
    </row>
    <row r="66" spans="2:5" x14ac:dyDescent="0.25">
      <c r="B66" s="2"/>
      <c r="C66" t="s">
        <v>203</v>
      </c>
      <c r="D66" s="3">
        <v>134000000</v>
      </c>
      <c r="E66" s="3">
        <v>134000000</v>
      </c>
    </row>
    <row r="67" spans="2:5" x14ac:dyDescent="0.25">
      <c r="B67" s="2"/>
      <c r="C67" t="s">
        <v>124</v>
      </c>
      <c r="D67" s="3">
        <v>210000000</v>
      </c>
      <c r="E67" s="3">
        <v>210000000</v>
      </c>
    </row>
    <row r="68" spans="2:5" x14ac:dyDescent="0.25">
      <c r="B68" s="2"/>
      <c r="C68" t="s">
        <v>206</v>
      </c>
      <c r="D68" s="3">
        <v>360281052</v>
      </c>
      <c r="E68" s="3">
        <v>147437112</v>
      </c>
    </row>
    <row r="69" spans="2:5" x14ac:dyDescent="0.25">
      <c r="B69" s="2"/>
      <c r="C69" t="s">
        <v>210</v>
      </c>
      <c r="D69" s="3">
        <v>133726246</v>
      </c>
      <c r="E69" s="3">
        <v>133726246</v>
      </c>
    </row>
    <row r="70" spans="2:5" x14ac:dyDescent="0.25">
      <c r="B70" s="2"/>
      <c r="C70" t="s">
        <v>119</v>
      </c>
      <c r="D70" s="3">
        <v>265476375</v>
      </c>
      <c r="E70" s="3">
        <v>250250965</v>
      </c>
    </row>
    <row r="71" spans="2:5" x14ac:dyDescent="0.25">
      <c r="B71" s="2"/>
      <c r="C71" t="s">
        <v>211</v>
      </c>
      <c r="D71" s="3">
        <v>425000000</v>
      </c>
      <c r="E71" s="3">
        <v>170000000</v>
      </c>
    </row>
    <row r="72" spans="2:5" x14ac:dyDescent="0.25">
      <c r="B72" s="2"/>
      <c r="C72" t="s">
        <v>121</v>
      </c>
      <c r="D72" s="3">
        <v>100000000</v>
      </c>
      <c r="E72" s="3">
        <v>100000000</v>
      </c>
    </row>
    <row r="73" spans="2:5" x14ac:dyDescent="0.25">
      <c r="B73" s="2"/>
      <c r="C73" t="s">
        <v>81</v>
      </c>
      <c r="D73" s="3">
        <v>200000000</v>
      </c>
      <c r="E73" s="3">
        <v>200000000</v>
      </c>
    </row>
    <row r="74" spans="2:5" x14ac:dyDescent="0.25">
      <c r="B74" s="2"/>
      <c r="C74" t="s">
        <v>23</v>
      </c>
      <c r="D74" s="3">
        <v>658162798</v>
      </c>
      <c r="E74" s="3">
        <v>658162798</v>
      </c>
    </row>
    <row r="75" spans="2:5" x14ac:dyDescent="0.25">
      <c r="B75" s="2"/>
      <c r="C75" t="s">
        <v>124</v>
      </c>
      <c r="D75" s="3">
        <v>400180000</v>
      </c>
      <c r="E75" s="3">
        <v>400180000</v>
      </c>
    </row>
    <row r="76" spans="2:5" x14ac:dyDescent="0.25">
      <c r="B76" s="2"/>
      <c r="C76" t="s">
        <v>23</v>
      </c>
      <c r="D76" s="3">
        <v>658162798</v>
      </c>
      <c r="E76" s="3">
        <v>658162798</v>
      </c>
    </row>
    <row r="77" spans="2:5" x14ac:dyDescent="0.25">
      <c r="B77" s="2"/>
      <c r="C77" t="s">
        <v>209</v>
      </c>
      <c r="D77" s="3">
        <v>480361966</v>
      </c>
      <c r="E77" s="3">
        <v>204180983</v>
      </c>
    </row>
    <row r="78" spans="2:5" x14ac:dyDescent="0.25">
      <c r="B78" s="2"/>
      <c r="C78" t="s">
        <v>30</v>
      </c>
      <c r="D78" s="3">
        <v>677401707</v>
      </c>
      <c r="E78" s="3">
        <v>108888092</v>
      </c>
    </row>
    <row r="79" spans="2:5" x14ac:dyDescent="0.25">
      <c r="B79" s="2"/>
      <c r="C79" t="s">
        <v>42</v>
      </c>
      <c r="D79" s="3">
        <v>145489931</v>
      </c>
      <c r="E79" s="3">
        <v>145489931</v>
      </c>
    </row>
    <row r="80" spans="2:5" x14ac:dyDescent="0.25">
      <c r="B80" s="2"/>
      <c r="C80" t="s">
        <v>41</v>
      </c>
      <c r="D80" s="3">
        <v>107779556</v>
      </c>
      <c r="E80" s="3">
        <v>107779556</v>
      </c>
    </row>
    <row r="81" spans="2:5" x14ac:dyDescent="0.25">
      <c r="B81" s="2"/>
      <c r="D81" s="41">
        <f>SUM(D65:D80)</f>
        <v>5170988066</v>
      </c>
      <c r="E81" s="41">
        <f>SUM(E65:E80)</f>
        <v>3714224118</v>
      </c>
    </row>
    <row r="82" spans="2:5" ht="30" x14ac:dyDescent="0.25">
      <c r="B82" s="2" t="s">
        <v>183</v>
      </c>
      <c r="C82" t="s">
        <v>12</v>
      </c>
      <c r="D82" s="3">
        <v>140000000</v>
      </c>
      <c r="E82" s="3">
        <v>130000000</v>
      </c>
    </row>
    <row r="83" spans="2:5" x14ac:dyDescent="0.25">
      <c r="B83" s="2"/>
      <c r="C83" t="s">
        <v>23</v>
      </c>
      <c r="D83" s="3">
        <v>50000000</v>
      </c>
      <c r="E83" s="3">
        <v>50000000</v>
      </c>
    </row>
    <row r="84" spans="2:5" x14ac:dyDescent="0.25">
      <c r="B84" s="2"/>
      <c r="C84" t="s">
        <v>51</v>
      </c>
      <c r="D84" s="3">
        <v>135130158</v>
      </c>
      <c r="E84" s="3">
        <v>127554166</v>
      </c>
    </row>
    <row r="85" spans="2:5" x14ac:dyDescent="0.25">
      <c r="B85" s="2"/>
      <c r="C85" t="s">
        <v>99</v>
      </c>
      <c r="D85" s="3">
        <v>126759000</v>
      </c>
      <c r="E85" s="3">
        <v>126759000</v>
      </c>
    </row>
    <row r="86" spans="2:5" x14ac:dyDescent="0.25">
      <c r="B86" s="2"/>
      <c r="C86" t="s">
        <v>99</v>
      </c>
      <c r="D86" s="3">
        <v>244819288</v>
      </c>
      <c r="E86" s="3">
        <v>244819288</v>
      </c>
    </row>
    <row r="87" spans="2:5" x14ac:dyDescent="0.25">
      <c r="B87" s="2"/>
      <c r="C87" t="s">
        <v>99</v>
      </c>
      <c r="D87" s="3">
        <v>293437088</v>
      </c>
      <c r="E87" s="3">
        <v>293437088</v>
      </c>
    </row>
    <row r="88" spans="2:5" x14ac:dyDescent="0.25">
      <c r="B88" s="2"/>
      <c r="D88" s="41">
        <f>SUM(D82:D87)</f>
        <v>990145534</v>
      </c>
      <c r="E88" s="41">
        <f>SUM(E82:E87)</f>
        <v>972569542</v>
      </c>
    </row>
    <row r="89" spans="2:5" x14ac:dyDescent="0.25">
      <c r="B89" s="2" t="s">
        <v>184</v>
      </c>
      <c r="C89" t="s">
        <v>23</v>
      </c>
      <c r="D89" s="3">
        <v>360000000</v>
      </c>
      <c r="E89" s="3">
        <v>360000000</v>
      </c>
    </row>
    <row r="90" spans="2:5" x14ac:dyDescent="0.25">
      <c r="B90" s="2"/>
      <c r="C90" t="s">
        <v>117</v>
      </c>
      <c r="D90" s="3">
        <v>183787500</v>
      </c>
      <c r="E90" s="3">
        <v>183787500</v>
      </c>
    </row>
    <row r="91" spans="2:5" x14ac:dyDescent="0.25">
      <c r="B91" s="2"/>
      <c r="D91" s="41">
        <f>SUM(D89:D90)</f>
        <v>543787500</v>
      </c>
      <c r="E91" s="41">
        <f>SUM(E89:E90)</f>
        <v>543787500</v>
      </c>
    </row>
    <row r="92" spans="2:5" x14ac:dyDescent="0.25">
      <c r="B92" s="2" t="s">
        <v>220</v>
      </c>
      <c r="C92" t="s">
        <v>23</v>
      </c>
      <c r="D92" s="41">
        <v>73599934</v>
      </c>
      <c r="E92" s="41">
        <v>73599934</v>
      </c>
    </row>
    <row r="93" spans="2:5" x14ac:dyDescent="0.25">
      <c r="B93" s="2" t="s">
        <v>185</v>
      </c>
      <c r="C93" t="s">
        <v>152</v>
      </c>
      <c r="D93" s="3">
        <v>176660709</v>
      </c>
      <c r="E93" s="3">
        <v>176660709</v>
      </c>
    </row>
    <row r="94" spans="2:5" x14ac:dyDescent="0.25">
      <c r="B94" s="2"/>
      <c r="C94" t="s">
        <v>23</v>
      </c>
      <c r="D94" s="3">
        <v>489411450</v>
      </c>
      <c r="E94" s="3">
        <v>489411450</v>
      </c>
    </row>
    <row r="95" spans="2:5" x14ac:dyDescent="0.25">
      <c r="B95" s="2"/>
      <c r="C95" t="s">
        <v>124</v>
      </c>
      <c r="D95" s="3">
        <v>62018574</v>
      </c>
      <c r="E95" s="3">
        <v>62018574</v>
      </c>
    </row>
    <row r="96" spans="2:5" x14ac:dyDescent="0.25">
      <c r="B96" s="2"/>
      <c r="C96" t="s">
        <v>117</v>
      </c>
      <c r="D96" s="3">
        <v>125366900</v>
      </c>
      <c r="E96" s="3">
        <v>125366900</v>
      </c>
    </row>
    <row r="97" spans="2:5" x14ac:dyDescent="0.25">
      <c r="B97" s="2"/>
      <c r="C97" t="s">
        <v>213</v>
      </c>
      <c r="D97" s="3">
        <v>351574672</v>
      </c>
      <c r="E97" s="3">
        <v>351574672</v>
      </c>
    </row>
    <row r="98" spans="2:5" x14ac:dyDescent="0.25">
      <c r="B98" s="2"/>
      <c r="C98" t="s">
        <v>213</v>
      </c>
      <c r="D98" s="3">
        <v>414059021</v>
      </c>
      <c r="E98" s="3">
        <v>352000000</v>
      </c>
    </row>
    <row r="99" spans="2:5" x14ac:dyDescent="0.25">
      <c r="B99" s="2"/>
      <c r="C99" t="s">
        <v>110</v>
      </c>
      <c r="D99" s="3">
        <v>147750325</v>
      </c>
      <c r="E99" s="3">
        <v>147750325</v>
      </c>
    </row>
    <row r="100" spans="2:5" x14ac:dyDescent="0.25">
      <c r="B100" s="2"/>
      <c r="C100" t="s">
        <v>217</v>
      </c>
      <c r="D100" s="3">
        <v>600000000</v>
      </c>
      <c r="E100" s="3">
        <v>600000000</v>
      </c>
    </row>
    <row r="101" spans="2:5" x14ac:dyDescent="0.25">
      <c r="B101" s="2"/>
      <c r="D101" s="41">
        <f>SUM(D93:D100)</f>
        <v>2366841651</v>
      </c>
      <c r="E101" s="41">
        <f>SUM(E93:E100)</f>
        <v>2304782630</v>
      </c>
    </row>
    <row r="102" spans="2:5" x14ac:dyDescent="0.25">
      <c r="B102" s="2" t="s">
        <v>186</v>
      </c>
      <c r="C102" t="s">
        <v>23</v>
      </c>
      <c r="D102" s="3">
        <v>70000000</v>
      </c>
      <c r="E102" s="3">
        <v>70000000</v>
      </c>
    </row>
    <row r="103" spans="2:5" x14ac:dyDescent="0.25">
      <c r="B103" s="2"/>
      <c r="C103" t="s">
        <v>148</v>
      </c>
      <c r="D103" s="3">
        <v>153832192</v>
      </c>
      <c r="E103" s="3">
        <v>153832192</v>
      </c>
    </row>
    <row r="104" spans="2:5" x14ac:dyDescent="0.25">
      <c r="B104" s="2"/>
      <c r="C104" t="s">
        <v>150</v>
      </c>
      <c r="D104" s="3">
        <v>320000000</v>
      </c>
      <c r="E104" s="3">
        <v>320000000</v>
      </c>
    </row>
    <row r="105" spans="2:5" x14ac:dyDescent="0.25">
      <c r="B105" s="2"/>
      <c r="C105" t="s">
        <v>23</v>
      </c>
      <c r="D105" s="3">
        <v>80000000</v>
      </c>
      <c r="E105" s="3">
        <v>80000000</v>
      </c>
    </row>
    <row r="106" spans="2:5" x14ac:dyDescent="0.25">
      <c r="B106" s="2"/>
      <c r="C106" t="s">
        <v>63</v>
      </c>
      <c r="D106" s="3">
        <v>108273000</v>
      </c>
      <c r="E106" s="3">
        <v>87287680</v>
      </c>
    </row>
    <row r="107" spans="2:5" x14ac:dyDescent="0.25">
      <c r="B107" s="2"/>
      <c r="C107" t="s">
        <v>121</v>
      </c>
      <c r="D107" s="3">
        <v>174728280</v>
      </c>
      <c r="E107" s="3">
        <v>174728280</v>
      </c>
    </row>
    <row r="108" spans="2:5" x14ac:dyDescent="0.25">
      <c r="B108" s="2"/>
      <c r="D108" s="41">
        <f>SUM(D102:D107)</f>
        <v>906833472</v>
      </c>
      <c r="E108" s="41">
        <f>SUM(E102:E107)</f>
        <v>885848152</v>
      </c>
    </row>
    <row r="109" spans="2:5" ht="30" x14ac:dyDescent="0.25">
      <c r="B109" s="2" t="s">
        <v>187</v>
      </c>
      <c r="C109" t="s">
        <v>117</v>
      </c>
      <c r="D109" s="3">
        <v>132000000</v>
      </c>
      <c r="E109" s="3">
        <v>132000000</v>
      </c>
    </row>
    <row r="110" spans="2:5" x14ac:dyDescent="0.25">
      <c r="B110" s="2"/>
      <c r="C110" t="s">
        <v>213</v>
      </c>
      <c r="D110" s="3">
        <v>570099929</v>
      </c>
      <c r="E110" s="3">
        <v>570099929</v>
      </c>
    </row>
    <row r="111" spans="2:5" x14ac:dyDescent="0.25">
      <c r="B111" s="2"/>
      <c r="D111" s="41">
        <f>SUM(D109:D110)</f>
        <v>702099929</v>
      </c>
      <c r="E111" s="41">
        <f>SUM(E109:E110)</f>
        <v>702099929</v>
      </c>
    </row>
    <row r="112" spans="2:5" x14ac:dyDescent="0.25">
      <c r="B112" s="2" t="s">
        <v>189</v>
      </c>
    </row>
    <row r="113" spans="2:5" x14ac:dyDescent="0.25">
      <c r="B113" s="2"/>
    </row>
    <row r="119" spans="2:5" x14ac:dyDescent="0.25">
      <c r="D119" s="41"/>
      <c r="E119" s="41"/>
    </row>
  </sheetData>
  <autoFilter ref="G6:H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7</vt:i4>
      </vt:variant>
      <vt:variant>
        <vt:lpstr>Gráficos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Hoja1</vt:lpstr>
      <vt:lpstr>MUNICIPIOS</vt:lpstr>
      <vt:lpstr>MUNICIPIOS G</vt:lpstr>
      <vt:lpstr>Grafico municipios</vt:lpstr>
      <vt:lpstr>PROVINCIAS G</vt:lpstr>
      <vt:lpstr>COMPARATIVO</vt:lpstr>
      <vt:lpstr>SECTORES</vt:lpstr>
      <vt:lpstr>Gráfico provincias</vt:lpstr>
      <vt:lpstr>Gráfico sectores</vt:lpstr>
      <vt:lpstr>Gráfico N. project</vt:lpstr>
      <vt:lpstr>'MUNICIPIOS G'!Títulos_a_imprimir</vt:lpstr>
    </vt:vector>
  </TitlesOfParts>
  <Company>Computer Deluxe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pasantesplaneacion</dc:creator>
  <cp:lastModifiedBy>Leidy Dayana Fernandez Daza</cp:lastModifiedBy>
  <cp:lastPrinted>2014-08-11T15:14:21Z</cp:lastPrinted>
  <dcterms:created xsi:type="dcterms:W3CDTF">2013-08-09T14:22:53Z</dcterms:created>
  <dcterms:modified xsi:type="dcterms:W3CDTF">2014-11-05T15:56:14Z</dcterms:modified>
</cp:coreProperties>
</file>